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APCP\Tech Support\EIQ\Landfill Spreadsheet Reference Materials\2025 NEW Spreadsheet\FINAL TOOL TO USE\"/>
    </mc:Choice>
  </mc:AlternateContent>
  <xr:revisionPtr revIDLastSave="0" documentId="13_ncr:1_{A0A573EA-4477-4965-8CE1-E2C6B26E51F1}" xr6:coauthVersionLast="47" xr6:coauthVersionMax="47" xr10:uidLastSave="{00000000-0000-0000-0000-000000000000}"/>
  <bookViews>
    <workbookView xWindow="-8925" yWindow="-16320" windowWidth="29040" windowHeight="15720" xr2:uid="{0C5C0A86-3961-4A3F-80CE-1415C500D293}"/>
  </bookViews>
  <sheets>
    <sheet name="Tool Guidance" sheetId="1" r:id="rId1"/>
    <sheet name="UserInputs" sheetId="2" r:id="rId2"/>
    <sheet name="LandGEMOutputs" sheetId="4" r:id="rId3"/>
    <sheet name="EmissionsSummary_NoFlare" sheetId="6" r:id="rId4"/>
    <sheet name="EmissionsSummary__withOneFlare" sheetId="5" r:id="rId5"/>
    <sheet name="EmissSum_MultiFlares" sheetId="8" r:id="rId6"/>
    <sheet name="EmissSum_MultiFlaresINPUT" sheetId="7" r:id="rId7"/>
  </sheets>
  <externalReferences>
    <externalReference r:id="rId8"/>
  </externalReferences>
  <definedNames>
    <definedName name="OpenYear">'[1]USER INPUTS'!$D$5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5" l="1"/>
  <c r="I34" i="5"/>
  <c r="I17" i="5"/>
  <c r="H46" i="5" l="1"/>
  <c r="C42" i="7"/>
  <c r="C41" i="7"/>
  <c r="C40" i="7"/>
  <c r="C39" i="7"/>
  <c r="C37" i="7"/>
  <c r="C36" i="7"/>
  <c r="C35" i="7"/>
  <c r="C34" i="7"/>
  <c r="C33" i="7"/>
  <c r="C32" i="7"/>
  <c r="C31" i="7"/>
  <c r="C30" i="7"/>
  <c r="C29" i="7"/>
  <c r="C28" i="7"/>
  <c r="C27" i="7"/>
  <c r="C26" i="7"/>
  <c r="C25" i="7"/>
  <c r="C24" i="7"/>
  <c r="C23" i="7"/>
  <c r="C22" i="7"/>
  <c r="C21" i="7"/>
  <c r="C20" i="7"/>
  <c r="C19" i="7"/>
  <c r="C18" i="7"/>
  <c r="C17" i="7"/>
  <c r="C16" i="7"/>
  <c r="C15" i="7"/>
  <c r="C14" i="7"/>
  <c r="C13" i="7"/>
  <c r="H33" i="8"/>
  <c r="H18" i="8"/>
  <c r="H3" i="8"/>
  <c r="H35" i="8"/>
  <c r="H20" i="8"/>
  <c r="H5" i="8"/>
  <c r="C24" i="8" l="1"/>
  <c r="D24" i="8" s="1"/>
  <c r="C24" i="6"/>
  <c r="D24" i="6" s="1"/>
  <c r="H32" i="5"/>
  <c r="I32" i="5" s="1"/>
  <c r="C24" i="5"/>
  <c r="D24" i="5" s="1"/>
  <c r="F2" i="7"/>
  <c r="H32" i="8" s="1"/>
  <c r="H37" i="8" s="1"/>
  <c r="C4" i="8"/>
  <c r="C2" i="8"/>
  <c r="C37" i="8"/>
  <c r="D37" i="8" s="1"/>
  <c r="C36" i="8"/>
  <c r="D36" i="8" s="1"/>
  <c r="C35" i="8"/>
  <c r="D35" i="8" s="1"/>
  <c r="C34" i="8"/>
  <c r="D34" i="8" s="1"/>
  <c r="C33" i="8"/>
  <c r="D33" i="8" s="1"/>
  <c r="C32" i="8"/>
  <c r="D32" i="8" s="1"/>
  <c r="C31" i="8"/>
  <c r="D31" i="8" s="1"/>
  <c r="C30" i="8"/>
  <c r="D30" i="8" s="1"/>
  <c r="C29" i="8"/>
  <c r="D29" i="8" s="1"/>
  <c r="C28" i="8"/>
  <c r="D28" i="8" s="1"/>
  <c r="C27" i="8"/>
  <c r="D27" i="8" s="1"/>
  <c r="C26" i="8"/>
  <c r="D26" i="8" s="1"/>
  <c r="C25" i="8"/>
  <c r="D25" i="8" s="1"/>
  <c r="C23" i="8"/>
  <c r="D23" i="8" s="1"/>
  <c r="C22" i="8"/>
  <c r="D22" i="8" s="1"/>
  <c r="C21" i="8"/>
  <c r="D21" i="8" s="1"/>
  <c r="C20" i="8"/>
  <c r="D20" i="8" s="1"/>
  <c r="C19" i="8"/>
  <c r="D19" i="8" s="1"/>
  <c r="C18" i="8"/>
  <c r="D18" i="8" s="1"/>
  <c r="C17" i="8"/>
  <c r="D17" i="8" s="1"/>
  <c r="C16" i="8"/>
  <c r="D16" i="8" s="1"/>
  <c r="C15" i="8"/>
  <c r="D15" i="8" s="1"/>
  <c r="C14" i="8"/>
  <c r="D14" i="8" s="1"/>
  <c r="C13" i="8"/>
  <c r="D13" i="8" s="1"/>
  <c r="C12" i="8"/>
  <c r="D12" i="8" s="1"/>
  <c r="C11" i="8"/>
  <c r="D11" i="8" s="1"/>
  <c r="C10" i="8"/>
  <c r="D10" i="8" s="1"/>
  <c r="C9" i="8"/>
  <c r="C38" i="7"/>
  <c r="E2" i="7"/>
  <c r="E3" i="7" s="1"/>
  <c r="D2" i="7"/>
  <c r="D3" i="7" s="1"/>
  <c r="H5" i="5"/>
  <c r="H3" i="5"/>
  <c r="H2" i="5"/>
  <c r="I46" i="5"/>
  <c r="H45" i="5"/>
  <c r="H44" i="5"/>
  <c r="H43" i="5"/>
  <c r="H42" i="5"/>
  <c r="H41" i="5"/>
  <c r="H40" i="5"/>
  <c r="H39" i="5"/>
  <c r="H38" i="5"/>
  <c r="H37" i="5"/>
  <c r="H36" i="5"/>
  <c r="H35" i="5"/>
  <c r="H34" i="5"/>
  <c r="H33" i="5"/>
  <c r="H31" i="5"/>
  <c r="H30" i="5"/>
  <c r="H29" i="5"/>
  <c r="H28" i="5"/>
  <c r="H27" i="5"/>
  <c r="H26" i="5"/>
  <c r="H25" i="5"/>
  <c r="H24" i="5"/>
  <c r="H23" i="5"/>
  <c r="H22" i="5"/>
  <c r="H21" i="5"/>
  <c r="H20" i="5"/>
  <c r="H19" i="5"/>
  <c r="H18" i="5"/>
  <c r="H17" i="5"/>
  <c r="C37" i="5"/>
  <c r="C36" i="5"/>
  <c r="C35" i="5"/>
  <c r="C34" i="5"/>
  <c r="C33" i="5"/>
  <c r="C32" i="5"/>
  <c r="C31" i="5"/>
  <c r="C30" i="5"/>
  <c r="C29" i="5"/>
  <c r="C28" i="5"/>
  <c r="C27" i="5"/>
  <c r="C26" i="5"/>
  <c r="C25" i="5"/>
  <c r="C23" i="5"/>
  <c r="C22" i="5"/>
  <c r="C21" i="5"/>
  <c r="D21" i="5" s="1"/>
  <c r="C20" i="5"/>
  <c r="C19" i="5"/>
  <c r="C18" i="5"/>
  <c r="C17" i="5"/>
  <c r="C16" i="5"/>
  <c r="C15" i="5"/>
  <c r="C14" i="5"/>
  <c r="C13" i="5"/>
  <c r="C12" i="5"/>
  <c r="C11" i="5"/>
  <c r="C10" i="5"/>
  <c r="C9" i="5"/>
  <c r="H4" i="5" l="1"/>
  <c r="H34" i="8"/>
  <c r="H40" i="8" s="1"/>
  <c r="H43" i="8"/>
  <c r="H36" i="8"/>
  <c r="H42" i="8" s="1"/>
  <c r="H39" i="8"/>
  <c r="H41" i="8"/>
  <c r="H17" i="8"/>
  <c r="H21" i="8" s="1"/>
  <c r="H27" i="8" s="1"/>
  <c r="H2" i="8"/>
  <c r="H4" i="8" s="1"/>
  <c r="H10" i="8" s="1"/>
  <c r="H6" i="5"/>
  <c r="H7" i="5"/>
  <c r="F3" i="7"/>
  <c r="C3" i="8"/>
  <c r="C5" i="8" s="1"/>
  <c r="D9" i="8"/>
  <c r="D38" i="8" s="1"/>
  <c r="C38" i="8"/>
  <c r="C6" i="8"/>
  <c r="C43" i="7"/>
  <c r="G2" i="7"/>
  <c r="D6" i="7" s="1"/>
  <c r="C3" i="5"/>
  <c r="C38" i="5"/>
  <c r="C4" i="5"/>
  <c r="C2" i="6"/>
  <c r="C4" i="6"/>
  <c r="C37" i="6"/>
  <c r="D37" i="6" s="1"/>
  <c r="C36" i="6"/>
  <c r="D36" i="6" s="1"/>
  <c r="C35" i="6"/>
  <c r="D35" i="6" s="1"/>
  <c r="C34" i="6"/>
  <c r="D34" i="6" s="1"/>
  <c r="C33" i="6"/>
  <c r="D33" i="6" s="1"/>
  <c r="C32" i="6"/>
  <c r="D32" i="6" s="1"/>
  <c r="C31" i="6"/>
  <c r="D31" i="6" s="1"/>
  <c r="C30" i="6"/>
  <c r="D30" i="6" s="1"/>
  <c r="C29" i="6"/>
  <c r="D29" i="6" s="1"/>
  <c r="C28" i="6"/>
  <c r="D28" i="6" s="1"/>
  <c r="C27" i="6"/>
  <c r="D27" i="6" s="1"/>
  <c r="C26" i="6"/>
  <c r="D26" i="6" s="1"/>
  <c r="C25" i="6"/>
  <c r="D25" i="6" s="1"/>
  <c r="C23" i="6"/>
  <c r="D23" i="6" s="1"/>
  <c r="C22" i="6"/>
  <c r="D22" i="6" s="1"/>
  <c r="C21" i="6"/>
  <c r="D21" i="6" s="1"/>
  <c r="C20" i="6"/>
  <c r="D20" i="6" s="1"/>
  <c r="C19" i="6"/>
  <c r="D19" i="6" s="1"/>
  <c r="C18" i="6"/>
  <c r="D18" i="6" s="1"/>
  <c r="C17" i="6"/>
  <c r="D17" i="6" s="1"/>
  <c r="C16" i="6"/>
  <c r="D16" i="6" s="1"/>
  <c r="C15" i="6"/>
  <c r="D15" i="6" s="1"/>
  <c r="C14" i="6"/>
  <c r="D14" i="6" s="1"/>
  <c r="C13" i="6"/>
  <c r="D13" i="6" s="1"/>
  <c r="C12" i="6"/>
  <c r="D12" i="6" s="1"/>
  <c r="C11" i="6"/>
  <c r="D11" i="6" s="1"/>
  <c r="C10" i="6"/>
  <c r="D10" i="6" s="1"/>
  <c r="C9" i="6"/>
  <c r="C2" i="5"/>
  <c r="D13" i="7" l="1"/>
  <c r="D36" i="7"/>
  <c r="D30" i="7"/>
  <c r="D39" i="7"/>
  <c r="D15" i="7"/>
  <c r="D35" i="7"/>
  <c r="D23" i="7"/>
  <c r="D19" i="7"/>
  <c r="D31" i="7"/>
  <c r="D28" i="7"/>
  <c r="D27" i="7"/>
  <c r="D33" i="7"/>
  <c r="D14" i="7"/>
  <c r="D17" i="7"/>
  <c r="D16" i="7"/>
  <c r="D41" i="7"/>
  <c r="D21" i="7"/>
  <c r="D24" i="7"/>
  <c r="D18" i="7"/>
  <c r="D29" i="7"/>
  <c r="D32" i="7"/>
  <c r="D26" i="7"/>
  <c r="D25" i="7"/>
  <c r="D37" i="7"/>
  <c r="D40" i="7"/>
  <c r="D34" i="7"/>
  <c r="D20" i="7"/>
  <c r="D42" i="7"/>
  <c r="D22" i="7"/>
  <c r="D38" i="7"/>
  <c r="H7" i="8"/>
  <c r="H13" i="8" s="1"/>
  <c r="H24" i="8"/>
  <c r="H22" i="8"/>
  <c r="H28" i="8" s="1"/>
  <c r="H26" i="8"/>
  <c r="H19" i="8"/>
  <c r="H25" i="8" s="1"/>
  <c r="H6" i="8"/>
  <c r="H12" i="8" s="1"/>
  <c r="H11" i="8"/>
  <c r="H9" i="8"/>
  <c r="E6" i="7"/>
  <c r="F6" i="7"/>
  <c r="C3" i="6"/>
  <c r="C5" i="6" s="1"/>
  <c r="C38" i="6"/>
  <c r="H47" i="5"/>
  <c r="C6" i="6"/>
  <c r="D9" i="6"/>
  <c r="D38" i="6" s="1"/>
  <c r="H13" i="5"/>
  <c r="H9" i="5"/>
  <c r="H11" i="5"/>
  <c r="H10" i="5"/>
  <c r="C6" i="5"/>
  <c r="F36" i="7" l="1"/>
  <c r="F30" i="7"/>
  <c r="F13" i="7"/>
  <c r="E36" i="7"/>
  <c r="E30" i="7"/>
  <c r="E13" i="7"/>
  <c r="E31" i="7"/>
  <c r="E28" i="7"/>
  <c r="E27" i="7"/>
  <c r="E23" i="7"/>
  <c r="E19" i="7"/>
  <c r="E35" i="7"/>
  <c r="E39" i="7"/>
  <c r="E15" i="7"/>
  <c r="E41" i="7"/>
  <c r="E34" i="7"/>
  <c r="E37" i="7"/>
  <c r="E29" i="7"/>
  <c r="E22" i="7"/>
  <c r="E26" i="7"/>
  <c r="E17" i="7"/>
  <c r="E40" i="7"/>
  <c r="E25" i="7"/>
  <c r="E24" i="7"/>
  <c r="E32" i="7"/>
  <c r="E33" i="7"/>
  <c r="E18" i="7"/>
  <c r="E20" i="7"/>
  <c r="E42" i="7"/>
  <c r="E14" i="7"/>
  <c r="E16" i="7"/>
  <c r="E21" i="7"/>
  <c r="E38" i="7"/>
  <c r="F40" i="7"/>
  <c r="F39" i="7"/>
  <c r="F31" i="7"/>
  <c r="F23" i="7"/>
  <c r="F15" i="7"/>
  <c r="F19" i="7"/>
  <c r="F22" i="7"/>
  <c r="F24" i="7"/>
  <c r="F28" i="7"/>
  <c r="F35" i="7"/>
  <c r="F32" i="7"/>
  <c r="F17" i="7"/>
  <c r="F42" i="7"/>
  <c r="F25" i="7"/>
  <c r="F29" i="7"/>
  <c r="F33" i="7"/>
  <c r="F18" i="7"/>
  <c r="F37" i="7"/>
  <c r="F27" i="7"/>
  <c r="F41" i="7"/>
  <c r="F26" i="7"/>
  <c r="F14" i="7"/>
  <c r="F20" i="7"/>
  <c r="F16" i="7"/>
  <c r="F34" i="7"/>
  <c r="F21" i="7"/>
  <c r="F38" i="7"/>
  <c r="H14" i="8"/>
  <c r="H8" i="8" s="1"/>
  <c r="D43" i="7"/>
  <c r="I45" i="5"/>
  <c r="I44" i="5"/>
  <c r="I43" i="5"/>
  <c r="I42" i="5"/>
  <c r="I41" i="5"/>
  <c r="I39" i="5"/>
  <c r="I38" i="5"/>
  <c r="I37" i="5"/>
  <c r="I36" i="5"/>
  <c r="I35" i="5"/>
  <c r="I33" i="5"/>
  <c r="I31" i="5"/>
  <c r="I30" i="5"/>
  <c r="I29" i="5"/>
  <c r="I28" i="5"/>
  <c r="I27" i="5"/>
  <c r="I26" i="5"/>
  <c r="I25" i="5"/>
  <c r="I24" i="5"/>
  <c r="I23" i="5"/>
  <c r="I22" i="5"/>
  <c r="I21" i="5"/>
  <c r="I20" i="5"/>
  <c r="I19" i="5"/>
  <c r="I18" i="5"/>
  <c r="H29" i="8" l="1"/>
  <c r="H23" i="8" s="1"/>
  <c r="H44" i="8"/>
  <c r="H38" i="8" s="1"/>
  <c r="F43" i="7"/>
  <c r="E43" i="7"/>
  <c r="C5" i="5"/>
  <c r="H12" i="5"/>
  <c r="H14" i="5" l="1"/>
  <c r="H8" i="5" s="1"/>
  <c r="I47" i="5"/>
  <c r="D34" i="5"/>
  <c r="D33" i="5"/>
  <c r="D17" i="5"/>
  <c r="D16" i="5"/>
  <c r="D9" i="5"/>
  <c r="D37" i="5"/>
  <c r="D36" i="5"/>
  <c r="D35" i="5"/>
  <c r="D32" i="5"/>
  <c r="D31" i="5"/>
  <c r="D30" i="5"/>
  <c r="D29" i="5"/>
  <c r="D28" i="5"/>
  <c r="D27" i="5"/>
  <c r="D26" i="5"/>
  <c r="D25" i="5"/>
  <c r="D23" i="5"/>
  <c r="D22" i="5"/>
  <c r="D20" i="5"/>
  <c r="D19" i="5"/>
  <c r="D18" i="5"/>
  <c r="D15" i="5"/>
  <c r="D14" i="5"/>
  <c r="D13" i="5"/>
  <c r="D12" i="5"/>
  <c r="D11" i="5"/>
  <c r="D10" i="5"/>
  <c r="D3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tc={38EA8975-0D62-4740-AFED-6D504F08049C}</author>
  </authors>
  <commentList>
    <comment ref="A1" authorId="0" shapeId="0" xr:uid="{38EA8975-0D62-4740-AFED-6D504F08049C}">
      <text>
        <t>[Threaded comment]
Your version of Excel allows you to read this threaded comment; however, any edits to it will get removed if the file is opened in a newer version of Excel. Learn more: https://go.microsoft.com/fwlink/?linkid=870924
Comment:
    Fugitive emissions calculated here should match MoEIS after data entry.</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tc={18DD496A-9770-4869-87AB-89CEA605465D}</author>
    <author>tc={633BD125-C66F-4FDD-884B-8420C815CCE8}</author>
    <author>tc={75B8EB4F-EF58-43E9-932E-CDDCC89B6D04}</author>
  </authors>
  <commentList>
    <comment ref="A1" authorId="0" shapeId="0" xr:uid="{18DD496A-9770-4869-87AB-89CEA605465D}">
      <text>
        <t>[Threaded comment]
Your version of Excel allows you to read this threaded comment; however, any edits to it will get removed if the file is opened in a newer version of Excel. Learn more: https://go.microsoft.com/fwlink/?linkid=870924
Comment:
    Fugitive emissions calculated here should match MoEIS after data entry.</t>
      </text>
    </comment>
    <comment ref="F1" authorId="1" shapeId="0" xr:uid="{633BD125-C66F-4FDD-884B-8420C815CCE8}">
      <text>
        <t xml:space="preserve">[Threaded comment]
Your version of Excel allows you to read this threaded comment; however, any edits to it will get removed if the file is opened in a newer version of Excel. Learn more: https://go.microsoft.com/fwlink/?linkid=870924
Comment:
    Flare emissions calculated here should match MoEIS after data entered. </t>
      </text>
    </comment>
    <comment ref="H11" authorId="2" shapeId="0" xr:uid="{75B8EB4F-EF58-43E9-932E-CDDCC89B6D04}">
      <text>
        <t xml:space="preserve">[Threaded comment]
Your version of Excel allows you to read this threaded comment; however, any edits to it will get removed if the file is opened in a newer version of Excel. Learn more: https://go.microsoft.com/fwlink/?linkid=870924
Comment:
    VOC emission factor accounts for the control. Do not add the overall control efficiency in the emission calculations on fast path.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tc={7D97816D-49EA-4919-BDB8-A2D27F04B34C}</author>
    <author>tc={B75EEB57-B31A-418C-8D91-30FD41372EC9}</author>
    <author>tc={585845F5-0249-4B70-953E-FDD8B29DFDF8}</author>
    <author>tc={58E3EB53-65C5-4D0E-85B8-F5744C6A74DB}</author>
    <author>tc={55C4610A-3725-4CC2-9EAA-79EFD7AA98C9}</author>
    <author>tc={20814B22-699A-447B-BE96-1DAB633F07DE}</author>
    <author>tc={486196BD-7CA6-450A-8236-D178F62B2A2C}</author>
  </authors>
  <commentList>
    <comment ref="A1" authorId="0" shapeId="0" xr:uid="{7D97816D-49EA-4919-BDB8-A2D27F04B34C}">
      <text>
        <t xml:space="preserve">[Threaded comment]
Your version of Excel allows you to read this threaded comment; however, any edits to it will get removed if the file is opened in a newer version of Excel. Learn more: https://go.microsoft.com/fwlink/?linkid=870924
Comment:
    Fugitive emissions calculated here should match MoEIS after data entry
</t>
      </text>
    </comment>
    <comment ref="F1" authorId="1" shapeId="0" xr:uid="{B75EEB57-B31A-418C-8D91-30FD41372EC9}">
      <text>
        <t>[Threaded comment]
Your version of Excel allows you to read this threaded comment; however, any edits to it will get removed if the file is opened in a newer version of Excel. Learn more: https://go.microsoft.com/fwlink/?linkid=870924
Comment:
    Flare emissions calculated here should match MoEIS after data entry</t>
      </text>
    </comment>
    <comment ref="H11" authorId="2" shapeId="0" xr:uid="{585845F5-0249-4B70-953E-FDD8B29DFDF8}">
      <text>
        <t xml:space="preserve">[Threaded comment]
Your version of Excel allows you to read this threaded comment; however, any edits to it will get removed if the file is opened in a newer version of Excel. Learn more: https://go.microsoft.com/fwlink/?linkid=870924
Comment:
    VOC emission factor accounts for the control. Do not add the overall control efficiency in the emission calculations on fast path. </t>
      </text>
    </comment>
    <comment ref="F16" authorId="3" shapeId="0" xr:uid="{58E3EB53-65C5-4D0E-85B8-F5744C6A74DB}">
      <text>
        <t xml:space="preserve">[Threaded comment]
Your version of Excel allows you to read this threaded comment; however, any edits to it will get removed if the file is opened in a newer version of Excel. Learn more: https://go.microsoft.com/fwlink/?linkid=870924
Comment:
    Flare emissions calculated here should match MoEIS after data entry
</t>
      </text>
    </comment>
    <comment ref="H26" authorId="4" shapeId="0" xr:uid="{55C4610A-3725-4CC2-9EAA-79EFD7AA98C9}">
      <text>
        <t>[Threaded comment]
Your version of Excel allows you to read this threaded comment; however, any edits to it will get removed if the file is opened in a newer version of Excel. Learn more: https://go.microsoft.com/fwlink/?linkid=870924
Comment:
    VOC emission factor accounts for the control. Do not add the overall control efficiency in the emission calculations on fast path.</t>
      </text>
    </comment>
    <comment ref="F31" authorId="5" shapeId="0" xr:uid="{20814B22-699A-447B-BE96-1DAB633F07DE}">
      <text>
        <t xml:space="preserve">[Threaded comment]
Your version of Excel allows you to read this threaded comment; however, any edits to it will get removed if the file is opened in a newer version of Excel. Learn more: https://go.microsoft.com/fwlink/?linkid=870924
Comment:
    Flare emissions calculated here should match MoEIS after data entry
</t>
      </text>
    </comment>
    <comment ref="H41" authorId="6" shapeId="0" xr:uid="{486196BD-7CA6-450A-8236-D178F62B2A2C}">
      <text>
        <t xml:space="preserve">[Threaded comment]
Your version of Excel allows you to read this threaded comment; however, any edits to it will get removed if the file is opened in a newer version of Excel. Learn more: https://go.microsoft.com/fwlink/?linkid=870924
Comment:
    VOC emission factor accounts for the control. Do not add the overall control efficiency in the emission calculations on fast path. </t>
      </text>
    </comment>
  </commentList>
</comments>
</file>

<file path=xl/sharedStrings.xml><?xml version="1.0" encoding="utf-8"?>
<sst xmlns="http://schemas.openxmlformats.org/spreadsheetml/2006/main" count="533" uniqueCount="188">
  <si>
    <t>Landfill Open Year:</t>
  </si>
  <si>
    <t>Landfill Closure Year:</t>
  </si>
  <si>
    <t>Methane Content (% by volume):</t>
  </si>
  <si>
    <t>The emissions reporting year.</t>
  </si>
  <si>
    <t>The year the landfill opened.</t>
  </si>
  <si>
    <t>Waste Acceptance Rates</t>
  </si>
  <si>
    <t>Input Units</t>
  </si>
  <si>
    <t>(Mg/year)</t>
  </si>
  <si>
    <t>Gas / Pollutant</t>
  </si>
  <si>
    <t>Emission Rate</t>
  </si>
  <si>
    <t>(short tons/year)</t>
  </si>
  <si>
    <t>Total landfill gas</t>
  </si>
  <si>
    <t>Methane</t>
  </si>
  <si>
    <t>Carbon dioxide</t>
  </si>
  <si>
    <t>NMOC</t>
  </si>
  <si>
    <t>1,1,1-Trichloroethane (methyl chloroform) - HAP</t>
  </si>
  <si>
    <t>1,1,2,2-Tetrachloroethane - HAP/VOC</t>
  </si>
  <si>
    <t>1,1-Dichloroethane (ethylidene dichloride) - HAP/VOC</t>
  </si>
  <si>
    <t>1,1-Dichloroethene (vinylidene chloride) - HAP/VOC</t>
  </si>
  <si>
    <t>1,2-Dichloroethane (ethylene dichloride) - HAP/VOC</t>
  </si>
  <si>
    <t>1,2-Dichloropropane (propylene dichloride) - HAP/VOC</t>
  </si>
  <si>
    <t>2-Propanol (isopropyl alcohol) - VOC</t>
  </si>
  <si>
    <t>Acetone</t>
  </si>
  <si>
    <t>Acrylonitrile - HAP/VOC</t>
  </si>
  <si>
    <t>Benzene - No or Unknown Co-disposal - HAP/VOC</t>
  </si>
  <si>
    <t>Benzene - Co-disposal - HAP/VOC</t>
  </si>
  <si>
    <t>Bromodichloromethane - VOC</t>
  </si>
  <si>
    <t>Butane - VOC</t>
  </si>
  <si>
    <t>Carbon disulfide - HAP/VOC</t>
  </si>
  <si>
    <t>Carbon monoxide</t>
  </si>
  <si>
    <t>Carbon tetrachloride - HAP/VOC</t>
  </si>
  <si>
    <t>Carbonyl sulfide - HAP/VOC</t>
  </si>
  <si>
    <t>Chlorobenzene - HAP/VOC</t>
  </si>
  <si>
    <t>Chlorodifluoromethane</t>
  </si>
  <si>
    <t>Chloroethane (ethyl chloride) - HAP/VOC</t>
  </si>
  <si>
    <t>Chloroform - HAP/VOC</t>
  </si>
  <si>
    <t>Chloromethane - VOC</t>
  </si>
  <si>
    <t>Dichlorobenzene - (HAP for para isomer/VOC)</t>
  </si>
  <si>
    <t>Dichlorodifluoromethane</t>
  </si>
  <si>
    <t>Dichlorofluoromethane - VOC</t>
  </si>
  <si>
    <t>Dichloromethane (methylene chloride) - HAP</t>
  </si>
  <si>
    <t>Dimethyl sulfide (methyl sulfide) - VOC</t>
  </si>
  <si>
    <t>Ethane</t>
  </si>
  <si>
    <t>Ethanol - VOC</t>
  </si>
  <si>
    <t>Ethyl mercaptan (ethanethiol) - VOC</t>
  </si>
  <si>
    <t>Ethylbenzene - HAP/VOC</t>
  </si>
  <si>
    <t>Ethylene dibromide - HAP/VOC</t>
  </si>
  <si>
    <t>Fluorotrichloromethane - VOC</t>
  </si>
  <si>
    <t>Hexane - HAP/VOC</t>
  </si>
  <si>
    <t>Hydrogen sulfide</t>
  </si>
  <si>
    <t>Mercury (total) - HAP</t>
  </si>
  <si>
    <t>Methyl ethyl ketone - HAP/VOC</t>
  </si>
  <si>
    <t>Methyl isobutyl ketone - HAP/VOC</t>
  </si>
  <si>
    <t>Methyl mercaptan - VOC</t>
  </si>
  <si>
    <t>Pentane - VOC</t>
  </si>
  <si>
    <t>Perchloroethylene (tetrachloroethylene) - HAP</t>
  </si>
  <si>
    <t>Propane - VOC</t>
  </si>
  <si>
    <t>t-1,2-Dichloroethene - VOC</t>
  </si>
  <si>
    <t>Toluene - No or Unknown Co-disposal - HAP/VOC</t>
  </si>
  <si>
    <t>Toluene - Co-disposal - HAP/VOC</t>
  </si>
  <si>
    <t>Trichloroethylene (trichloroethene) - HAP/VOC</t>
  </si>
  <si>
    <t>Vinyl chloride - HAP/VOC</t>
  </si>
  <si>
    <t>Xylenes - HAP/VOC</t>
  </si>
  <si>
    <t>(m3/year)</t>
  </si>
  <si>
    <t>(av ft3/min)</t>
  </si>
  <si>
    <t>(ft3/year)</t>
  </si>
  <si>
    <t>(lbs/year)</t>
  </si>
  <si>
    <t>Total HAPs</t>
  </si>
  <si>
    <t>Hazardous Waste Co-Disposal:</t>
  </si>
  <si>
    <t>Gas Flow Rate to Flare (scfm):</t>
  </si>
  <si>
    <t>Flare Annual Hours of Operation:</t>
  </si>
  <si>
    <t>Concentration of Total Reduced Sulfur Compounds (ppmv):</t>
  </si>
  <si>
    <t>Flare Destruction Efficiency (%):</t>
  </si>
  <si>
    <t>Flare Capture Efficiency (%):</t>
  </si>
  <si>
    <t>CAS Number</t>
  </si>
  <si>
    <t>VOC Emissions (tons/year):</t>
  </si>
  <si>
    <t>HAP Emissions (tons/year):</t>
  </si>
  <si>
    <t>VOC Emission Factor (lbs/mmscf):</t>
  </si>
  <si>
    <t>HAP Emission Factor (lbs/mmscf):</t>
  </si>
  <si>
    <t>Fugitive Emissions</t>
  </si>
  <si>
    <t>Landfill Gas Throughput (mmscf/year):</t>
  </si>
  <si>
    <t>Flare Emissions</t>
  </si>
  <si>
    <t>Annual Landfill Gas Flow Through Flare (mmscf/year):</t>
  </si>
  <si>
    <r>
      <t>PM</t>
    </r>
    <r>
      <rPr>
        <vertAlign val="subscript"/>
        <sz val="11"/>
        <color theme="1"/>
        <rFont val="Calibri"/>
        <family val="2"/>
        <scheme val="minor"/>
      </rPr>
      <t>10</t>
    </r>
    <r>
      <rPr>
        <sz val="11"/>
        <color theme="1"/>
        <rFont val="Calibri"/>
        <family val="2"/>
        <scheme val="minor"/>
      </rPr>
      <t>/PM</t>
    </r>
    <r>
      <rPr>
        <vertAlign val="subscript"/>
        <sz val="11"/>
        <color theme="1"/>
        <rFont val="Calibri"/>
        <family val="2"/>
        <scheme val="minor"/>
      </rPr>
      <t>2.5</t>
    </r>
    <r>
      <rPr>
        <sz val="11"/>
        <color theme="1"/>
        <rFont val="Calibri"/>
        <family val="2"/>
        <scheme val="minor"/>
      </rPr>
      <t xml:space="preserve"> Emissions (tons/year):</t>
    </r>
  </si>
  <si>
    <r>
      <t>SO</t>
    </r>
    <r>
      <rPr>
        <vertAlign val="subscript"/>
        <sz val="11"/>
        <color theme="1"/>
        <rFont val="Calibri"/>
        <family val="2"/>
        <scheme val="minor"/>
      </rPr>
      <t>2</t>
    </r>
    <r>
      <rPr>
        <sz val="11"/>
        <color theme="1"/>
        <rFont val="Calibri"/>
        <family val="2"/>
        <scheme val="minor"/>
      </rPr>
      <t xml:space="preserve"> Emissions (tons/year):</t>
    </r>
  </si>
  <si>
    <r>
      <t>NO</t>
    </r>
    <r>
      <rPr>
        <vertAlign val="subscript"/>
        <sz val="11"/>
        <color theme="1"/>
        <rFont val="Calibri"/>
        <family val="2"/>
        <scheme val="minor"/>
      </rPr>
      <t>X</t>
    </r>
    <r>
      <rPr>
        <sz val="11"/>
        <color theme="1"/>
        <rFont val="Calibri"/>
        <family val="2"/>
        <scheme val="minor"/>
      </rPr>
      <t xml:space="preserve"> Emissions (tons/year):</t>
    </r>
  </si>
  <si>
    <t>CO Emissions (tons/year):</t>
  </si>
  <si>
    <t>CO Emission Factor (lbs/mmscf):</t>
  </si>
  <si>
    <r>
      <t>SO</t>
    </r>
    <r>
      <rPr>
        <vertAlign val="subscript"/>
        <sz val="11"/>
        <color theme="1"/>
        <rFont val="Calibri"/>
        <family val="2"/>
        <scheme val="minor"/>
      </rPr>
      <t>2</t>
    </r>
    <r>
      <rPr>
        <sz val="11"/>
        <color theme="1"/>
        <rFont val="Calibri"/>
        <family val="2"/>
        <scheme val="minor"/>
      </rPr>
      <t xml:space="preserve"> Emission Factor (lbs/mmscf):</t>
    </r>
  </si>
  <si>
    <r>
      <t>NO</t>
    </r>
    <r>
      <rPr>
        <vertAlign val="subscript"/>
        <sz val="11"/>
        <color theme="1"/>
        <rFont val="Calibri"/>
        <family val="2"/>
        <scheme val="minor"/>
      </rPr>
      <t>X</t>
    </r>
    <r>
      <rPr>
        <sz val="11"/>
        <color theme="1"/>
        <rFont val="Calibri"/>
        <family val="2"/>
        <scheme val="minor"/>
      </rPr>
      <t xml:space="preserve"> Emission Factor (lbs/mmscf):</t>
    </r>
  </si>
  <si>
    <r>
      <t>PM</t>
    </r>
    <r>
      <rPr>
        <vertAlign val="subscript"/>
        <sz val="11"/>
        <color theme="1"/>
        <rFont val="Calibri"/>
        <family val="2"/>
        <scheme val="minor"/>
      </rPr>
      <t>10</t>
    </r>
    <r>
      <rPr>
        <sz val="11"/>
        <color theme="1"/>
        <rFont val="Calibri"/>
        <family val="2"/>
        <scheme val="minor"/>
      </rPr>
      <t>/PM</t>
    </r>
    <r>
      <rPr>
        <vertAlign val="subscript"/>
        <sz val="11"/>
        <color theme="1"/>
        <rFont val="Calibri"/>
        <family val="2"/>
        <scheme val="minor"/>
      </rPr>
      <t>2.5</t>
    </r>
    <r>
      <rPr>
        <sz val="11"/>
        <color theme="1"/>
        <rFont val="Calibri"/>
        <family val="2"/>
        <scheme val="minor"/>
      </rPr>
      <t xml:space="preserve"> Emission Factor (lbs/mmscf):</t>
    </r>
  </si>
  <si>
    <t>Parameter</t>
  </si>
  <si>
    <t>Value</t>
  </si>
  <si>
    <t>Parameter Notes</t>
  </si>
  <si>
    <t>71-55-6</t>
  </si>
  <si>
    <t>79-34-5</t>
  </si>
  <si>
    <t>75-34-3</t>
  </si>
  <si>
    <t>75-35-4</t>
  </si>
  <si>
    <t>107-06-2</t>
  </si>
  <si>
    <t>78-87-5</t>
  </si>
  <si>
    <t>107-13-1</t>
  </si>
  <si>
    <t>75-15-0</t>
  </si>
  <si>
    <t>56-23-5</t>
  </si>
  <si>
    <t>463-58-1</t>
  </si>
  <si>
    <t>108-90-7</t>
  </si>
  <si>
    <t>75-00-3</t>
  </si>
  <si>
    <t>67-66-3</t>
  </si>
  <si>
    <t>106-46-7</t>
  </si>
  <si>
    <t>75-09-2</t>
  </si>
  <si>
    <t>100-41-4</t>
  </si>
  <si>
    <t>106-93-4</t>
  </si>
  <si>
    <t>110-54-3</t>
  </si>
  <si>
    <t>20-13-3</t>
  </si>
  <si>
    <t>108-10-1</t>
  </si>
  <si>
    <t>127-18-4</t>
  </si>
  <si>
    <t>79-01-6</t>
  </si>
  <si>
    <t>75-01-4</t>
  </si>
  <si>
    <t>1330-20-7</t>
  </si>
  <si>
    <t>108-88-3</t>
  </si>
  <si>
    <t>71-43-2</t>
  </si>
  <si>
    <t>USER GUIDES</t>
  </si>
  <si>
    <t>Please use the most recent site measurement. 46.9 ppmv default. (AP-42, Vol 1, CH 2.4)</t>
  </si>
  <si>
    <t>Please use the most recent site measurement. 98% default.</t>
  </si>
  <si>
    <t>Please use the most recent site measurement. 75% default.</t>
  </si>
  <si>
    <t xml:space="preserve">Please use the most recent site measurement. </t>
  </si>
  <si>
    <r>
      <t>Methane Generation Rate, k (year</t>
    </r>
    <r>
      <rPr>
        <vertAlign val="superscript"/>
        <sz val="11"/>
        <color theme="1"/>
        <rFont val="Calibri"/>
        <family val="2"/>
        <scheme val="minor"/>
      </rPr>
      <t>-1</t>
    </r>
    <r>
      <rPr>
        <sz val="11"/>
        <color theme="1"/>
        <rFont val="Calibri"/>
        <family val="2"/>
        <scheme val="minor"/>
      </rPr>
      <t>)</t>
    </r>
  </si>
  <si>
    <t>Non-Methane Organic Compound Concentration (NMOC) at Flare (ppmv as Hexane):</t>
  </si>
  <si>
    <t>Non-Methane Organic Compound (NMOC) Concentration (ppmv as Hexane):</t>
  </si>
  <si>
    <t>Free Live Help Mon-Fri 8am-5pm</t>
  </si>
  <si>
    <t xml:space="preserve">MoEIS </t>
  </si>
  <si>
    <t xml:space="preserve">Website: </t>
  </si>
  <si>
    <t>https://apps5.mo.gov/moeis/main/login</t>
  </si>
  <si>
    <t>eiq@dnr.mo.gov</t>
  </si>
  <si>
    <t>866-663-4748 or 573-751-4817</t>
  </si>
  <si>
    <t xml:space="preserve">Technical Support: </t>
  </si>
  <si>
    <t xml:space="preserve">E-mail: </t>
  </si>
  <si>
    <t>7647-01-0</t>
  </si>
  <si>
    <t>Hydrogen Chloride</t>
  </si>
  <si>
    <t>TOTAL HAPS</t>
  </si>
  <si>
    <t xml:space="preserve">                                                                                                                                                                                  User Inputs</t>
  </si>
  <si>
    <t>Degradable Organic Carbon, DOC (g C/g waste)</t>
  </si>
  <si>
    <t xml:space="preserve">Use value from LandGEM User Inputs. </t>
  </si>
  <si>
    <t xml:space="preserve">                                                  Input Guidance</t>
  </si>
  <si>
    <t>Number of hours flare operated in a given year.</t>
  </si>
  <si>
    <t>NO/UNKNOWN</t>
  </si>
  <si>
    <t>EMISSIONS LB/YEAR</t>
  </si>
  <si>
    <t>FLARE ONE</t>
  </si>
  <si>
    <t>FLARE TWO</t>
  </si>
  <si>
    <t>FLARE THREE</t>
  </si>
  <si>
    <t>TOTAL LANDFILL GAS</t>
  </si>
  <si>
    <t>GAS FLOW RATE TO FLARE</t>
  </si>
  <si>
    <t>FLARE ANNUAL HOURS OF OPERATION</t>
  </si>
  <si>
    <t>PERCENTAGE OF TOTAL FLOW</t>
  </si>
  <si>
    <t>MMSCF METHANE</t>
  </si>
  <si>
    <t>MMSCF LFG</t>
  </si>
  <si>
    <t>HAP EMISSIONS FLARE ONE</t>
  </si>
  <si>
    <t>HAP EMISSIONS FLARE TWO</t>
  </si>
  <si>
    <t xml:space="preserve">HAP EMISSIONS FLARE THREE </t>
  </si>
  <si>
    <t>DATA ELEMENTS</t>
  </si>
  <si>
    <t>Flare one Emissions</t>
  </si>
  <si>
    <t>Flare two Emissions</t>
  </si>
  <si>
    <t>Flare three  Emissions</t>
  </si>
  <si>
    <t xml:space="preserve">                                                                     Chloromethane - VOC</t>
  </si>
  <si>
    <t>74-87-3</t>
  </si>
  <si>
    <t xml:space="preserve">                                                       Chloromethane - VOC</t>
  </si>
  <si>
    <t xml:space="preserve">                                               Chloromethane - VOC</t>
  </si>
  <si>
    <t xml:space="preserve">                                            Chloromethane - VOC</t>
  </si>
  <si>
    <t>Use value from LandGEM User Inputs. (reference Input Guidance below or LandGEM instructions on Tool Guidance tab)</t>
  </si>
  <si>
    <t>Year</t>
  </si>
  <si>
    <t>DNR Website - Landfill Tool</t>
  </si>
  <si>
    <t>Emissions and Fee Calculation | Missouri Department of Natural Resources</t>
  </si>
  <si>
    <t>https://dnr.mo.gov/sites/dnr/files/media/file/2025/04/landfill-emissions-calculation-tool-2025-v4.xlsx</t>
  </si>
  <si>
    <t xml:space="preserve">Tool: </t>
  </si>
  <si>
    <r>
      <t xml:space="preserve">Copy the Emission Rate data from LandGEM’s B8-SNAPSHOT tab (G7:K58- possibly to K59 if have flare to report hydrogen chloride). Click cell B3 of the LandGEMOutputs tab in the MoDNR Landfill Spreadsheet and </t>
    </r>
    <r>
      <rPr>
        <b/>
        <sz val="11"/>
        <color theme="1"/>
        <rFont val="Calibri"/>
        <family val="2"/>
        <scheme val="minor"/>
      </rPr>
      <t>paste values</t>
    </r>
    <r>
      <rPr>
        <sz val="11"/>
        <color theme="1"/>
        <rFont val="Calibri"/>
        <family val="2"/>
        <scheme val="minor"/>
      </rPr>
      <t>. (zeros will be pasted if pase value isn't used).</t>
    </r>
  </si>
  <si>
    <t>Please use the most recent site measurement. 2,400 ppmv default if co-disposal. 600 ppmv default if no co-disposal before 1992 and 550 ppmv default if no co-disposal on or after 1992. (AP-42, Vol 1, CH 2.4)</t>
  </si>
  <si>
    <t>Please use the most recent site measurement. 50% default. (F, Fraction by volume of CH4 in lanfill gas)</t>
  </si>
  <si>
    <t>Fill in yellow highlighted fields to calculate data for multi flares</t>
  </si>
  <si>
    <t>Use tab EmissSum_MultiFlares to enter data on fast path in MoEIS</t>
  </si>
  <si>
    <t>Use HAP data calculated below to enter HAP worksheets for each flare in MoEIS</t>
  </si>
  <si>
    <t>Landfill Gas Emissions Model (LandGEM) Version 3.1 User Manual and Tool | Science Inventory | US EPA</t>
  </si>
  <si>
    <t>LandGEM Spreadsheet and User Manual</t>
  </si>
  <si>
    <t>*1,1,1-Trichloroethane (methyl chloroform) - HAP</t>
  </si>
  <si>
    <t>*Dichloromethane (methylene chloride) - HAP</t>
  </si>
  <si>
    <t>**Mercury (total) - HAP</t>
  </si>
  <si>
    <t>*Perchloroethylene (tetrachloroethylene) - HAP</t>
  </si>
  <si>
    <t>**Hydrogen Chloride - HAP</t>
  </si>
  <si>
    <t>**These HAPs are not controlled by the Flare and should not include a control efficiency on the HAP worksheet. THERE SHOULD BE NO CONTROL EFFICIENCY ON FAST PATH FOR THE HAP POLLUTANT!!!</t>
  </si>
  <si>
    <t>*These HAPs are controlled by the Flare and include the control efficiency in the lbs/year to be entered on the HAP worksheet. DO NOT ENTER A CONTROL EFFICIENCY ON THE HAP WORKSHEET FOR THESE OR ON FAST PATH FOR THE HAP POLLUTANT!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</si>
</sst>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E+00"/>
    <numFmt numFmtId="165" formatCode="0.000"/>
    <numFmt numFmtId="166" formatCode="0.000000"/>
    <numFmt numFmtId="167" formatCode="0.0000"/>
  </numFmts>
  <fonts count="17" x14ac:knownFonts="1">
    <font>
      <sz val="11"/>
      <color theme="1"/>
      <name val="Calibri"/>
      <family val="2"/>
      <scheme val="minor"/>
    </font>
    <font>
      <u/>
      <sz val="11"/>
      <color theme="10"/>
      <name val="Calibri"/>
      <family val="2"/>
      <scheme val="minor"/>
    </font>
    <font>
      <vertAlign val="superscript"/>
      <sz val="11"/>
      <color theme="1"/>
      <name val="Calibri"/>
      <family val="2"/>
      <scheme val="minor"/>
    </font>
    <font>
      <vertAlign val="subscript"/>
      <sz val="11"/>
      <color theme="1"/>
      <name val="Calibri"/>
      <family val="2"/>
      <scheme val="minor"/>
    </font>
    <font>
      <b/>
      <sz val="11"/>
      <color theme="1"/>
      <name val="Calibri"/>
      <family val="2"/>
      <scheme val="minor"/>
    </font>
    <font>
      <b/>
      <sz val="10"/>
      <name val="Arial"/>
      <family val="2"/>
    </font>
    <font>
      <b/>
      <i/>
      <sz val="10"/>
      <name val="Arial"/>
      <family val="2"/>
    </font>
    <font>
      <sz val="10"/>
      <name val="Arial"/>
      <family val="2"/>
    </font>
    <font>
      <b/>
      <sz val="26"/>
      <color theme="1"/>
      <name val="Calibri"/>
      <family val="2"/>
      <scheme val="minor"/>
    </font>
    <font>
      <b/>
      <u/>
      <sz val="11"/>
      <color theme="1"/>
      <name val="Calibri"/>
      <family val="2"/>
      <scheme val="minor"/>
    </font>
    <font>
      <u/>
      <sz val="11"/>
      <color theme="1"/>
      <name val="Calibri"/>
      <family val="2"/>
      <scheme val="minor"/>
    </font>
    <font>
      <b/>
      <u/>
      <sz val="16"/>
      <color theme="1"/>
      <name val="Calibri"/>
      <family val="2"/>
      <scheme val="minor"/>
    </font>
    <font>
      <sz val="11"/>
      <color rgb="FF000000"/>
      <name val="Calibri"/>
      <family val="2"/>
      <scheme val="minor"/>
    </font>
    <font>
      <b/>
      <sz val="11"/>
      <color rgb="FF000000"/>
      <name val="Calibri"/>
      <family val="2"/>
      <scheme val="minor"/>
    </font>
    <font>
      <b/>
      <sz val="14"/>
      <color theme="1"/>
      <name val="Calibri"/>
      <family val="2"/>
      <scheme val="minor"/>
    </font>
    <font>
      <sz val="11"/>
      <name val="Calibri"/>
      <family val="2"/>
      <scheme val="minor"/>
    </font>
    <font>
      <b/>
      <i/>
      <sz val="11"/>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right style="thick">
        <color indexed="64"/>
      </right>
      <top style="thin">
        <color indexed="64"/>
      </top>
      <bottom/>
      <diagonal/>
    </border>
    <border>
      <left style="thick">
        <color indexed="64"/>
      </left>
      <right style="thick">
        <color indexed="64"/>
      </right>
      <top style="thin">
        <color indexed="64"/>
      </top>
      <bottom/>
      <diagonal/>
    </border>
    <border>
      <left style="thin">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183">
    <xf numFmtId="0" fontId="0" fillId="0" borderId="0" xfId="0"/>
    <xf numFmtId="0" fontId="0" fillId="0" borderId="0" xfId="0" applyAlignment="1">
      <alignment horizontal="center"/>
    </xf>
    <xf numFmtId="164" fontId="0" fillId="0" borderId="0" xfId="0" applyNumberFormat="1"/>
    <xf numFmtId="0" fontId="4" fillId="3" borderId="7" xfId="0" applyFont="1" applyFill="1" applyBorder="1" applyAlignment="1">
      <alignment horizontal="center"/>
    </xf>
    <xf numFmtId="0" fontId="4" fillId="3" borderId="17" xfId="0" applyFont="1" applyFill="1" applyBorder="1" applyAlignment="1">
      <alignment horizontal="center"/>
    </xf>
    <xf numFmtId="0" fontId="4" fillId="3" borderId="1" xfId="0" applyFont="1" applyFill="1" applyBorder="1" applyAlignment="1">
      <alignment horizontal="center"/>
    </xf>
    <xf numFmtId="0" fontId="0" fillId="4" borderId="7" xfId="0" applyFill="1" applyBorder="1"/>
    <xf numFmtId="0" fontId="7" fillId="4" borderId="17" xfId="0" applyFont="1" applyFill="1" applyBorder="1" applyAlignment="1">
      <alignment horizontal="right"/>
    </xf>
    <xf numFmtId="0" fontId="7" fillId="4" borderId="1" xfId="0" applyFont="1" applyFill="1" applyBorder="1" applyAlignment="1">
      <alignment horizontal="right"/>
    </xf>
    <xf numFmtId="166" fontId="7" fillId="4" borderId="1" xfId="0" applyNumberFormat="1" applyFont="1" applyFill="1" applyBorder="1" applyAlignment="1">
      <alignment horizontal="center"/>
    </xf>
    <xf numFmtId="165" fontId="0" fillId="4" borderId="7" xfId="0" applyNumberFormat="1" applyFill="1" applyBorder="1" applyAlignment="1">
      <alignment horizontal="center"/>
    </xf>
    <xf numFmtId="0" fontId="7" fillId="5" borderId="17" xfId="0" applyFont="1" applyFill="1" applyBorder="1" applyAlignment="1">
      <alignment horizontal="right"/>
    </xf>
    <xf numFmtId="0" fontId="7" fillId="5" borderId="1" xfId="0" applyFont="1" applyFill="1" applyBorder="1" applyAlignment="1">
      <alignment horizontal="right"/>
    </xf>
    <xf numFmtId="166" fontId="7" fillId="5" borderId="1" xfId="0" applyNumberFormat="1" applyFont="1" applyFill="1" applyBorder="1" applyAlignment="1">
      <alignment horizontal="center"/>
    </xf>
    <xf numFmtId="165" fontId="0" fillId="5" borderId="7" xfId="0" applyNumberFormat="1" applyFill="1" applyBorder="1" applyAlignment="1">
      <alignment horizontal="center"/>
    </xf>
    <xf numFmtId="2" fontId="0" fillId="6" borderId="14" xfId="0" applyNumberFormat="1" applyFill="1" applyBorder="1" applyAlignment="1">
      <alignment horizontal="center"/>
    </xf>
    <xf numFmtId="2" fontId="0" fillId="6" borderId="15" xfId="0" applyNumberFormat="1" applyFill="1" applyBorder="1" applyAlignment="1">
      <alignment horizontal="center"/>
    </xf>
    <xf numFmtId="0" fontId="6" fillId="3" borderId="1" xfId="0" applyFont="1" applyFill="1" applyBorder="1" applyAlignment="1">
      <alignment horizontal="center"/>
    </xf>
    <xf numFmtId="0" fontId="6" fillId="3" borderId="7" xfId="0" applyFont="1" applyFill="1" applyBorder="1" applyAlignment="1">
      <alignment horizontal="center"/>
    </xf>
    <xf numFmtId="0" fontId="0" fillId="9" borderId="0" xfId="0" applyFill="1"/>
    <xf numFmtId="0" fontId="0" fillId="9" borderId="0" xfId="0" applyFill="1" applyAlignment="1">
      <alignment horizontal="center"/>
    </xf>
    <xf numFmtId="0" fontId="4" fillId="3" borderId="8" xfId="0" applyFont="1" applyFill="1" applyBorder="1" applyAlignment="1">
      <alignment horizontal="center"/>
    </xf>
    <xf numFmtId="0" fontId="9" fillId="0" borderId="0" xfId="0" applyFont="1"/>
    <xf numFmtId="0" fontId="10" fillId="0" borderId="0" xfId="1" applyFont="1" applyAlignment="1"/>
    <xf numFmtId="0" fontId="11" fillId="0" borderId="0" xfId="1" applyFont="1" applyAlignment="1">
      <alignment horizontal="left" vertical="top"/>
    </xf>
    <xf numFmtId="0" fontId="0" fillId="4" borderId="1" xfId="0" applyFill="1" applyBorder="1" applyAlignment="1" applyProtection="1">
      <alignment horizontal="center"/>
      <protection locked="0"/>
    </xf>
    <xf numFmtId="0" fontId="0" fillId="5" borderId="1" xfId="0" applyFill="1" applyBorder="1" applyAlignment="1" applyProtection="1">
      <alignment horizontal="center"/>
      <protection locked="0"/>
    </xf>
    <xf numFmtId="9" fontId="0" fillId="4" borderId="1" xfId="0" applyNumberFormat="1" applyFill="1" applyBorder="1" applyAlignment="1" applyProtection="1">
      <alignment horizontal="center"/>
      <protection locked="0"/>
    </xf>
    <xf numFmtId="9" fontId="0" fillId="5" borderId="9" xfId="0" applyNumberFormat="1" applyFill="1" applyBorder="1" applyAlignment="1" applyProtection="1">
      <alignment horizontal="center"/>
      <protection locked="0"/>
    </xf>
    <xf numFmtId="0" fontId="0" fillId="4" borderId="17" xfId="0" applyFill="1" applyBorder="1" applyAlignment="1" applyProtection="1">
      <alignment horizontal="center"/>
      <protection locked="0"/>
    </xf>
    <xf numFmtId="3" fontId="0" fillId="4" borderId="8" xfId="0" applyNumberFormat="1" applyFill="1" applyBorder="1" applyAlignment="1" applyProtection="1">
      <alignment horizontal="center"/>
      <protection locked="0"/>
    </xf>
    <xf numFmtId="0" fontId="0" fillId="5" borderId="17" xfId="0" applyFill="1" applyBorder="1" applyAlignment="1" applyProtection="1">
      <alignment horizontal="center"/>
      <protection locked="0"/>
    </xf>
    <xf numFmtId="3" fontId="0" fillId="5" borderId="8" xfId="0" applyNumberFormat="1" applyFill="1" applyBorder="1" applyAlignment="1" applyProtection="1">
      <alignment horizontal="center"/>
      <protection locked="0"/>
    </xf>
    <xf numFmtId="0" fontId="0" fillId="5" borderId="18" xfId="0" applyFill="1" applyBorder="1" applyAlignment="1" applyProtection="1">
      <alignment horizontal="center"/>
      <protection locked="0"/>
    </xf>
    <xf numFmtId="3" fontId="0" fillId="5" borderId="23" xfId="0" applyNumberFormat="1" applyFill="1" applyBorder="1" applyAlignment="1" applyProtection="1">
      <alignment horizontal="center"/>
      <protection locked="0"/>
    </xf>
    <xf numFmtId="0" fontId="1" fillId="0" borderId="0" xfId="1" applyProtection="1">
      <protection locked="0"/>
    </xf>
    <xf numFmtId="0" fontId="0" fillId="0" borderId="0" xfId="0" applyProtection="1">
      <protection locked="0"/>
    </xf>
    <xf numFmtId="0" fontId="4" fillId="5" borderId="24" xfId="0" applyFont="1" applyFill="1" applyBorder="1"/>
    <xf numFmtId="0" fontId="4" fillId="4" borderId="7" xfId="0" applyFont="1" applyFill="1" applyBorder="1"/>
    <xf numFmtId="0" fontId="4" fillId="5" borderId="7" xfId="0" applyFont="1" applyFill="1" applyBorder="1"/>
    <xf numFmtId="0" fontId="0" fillId="4" borderId="17" xfId="0" applyFill="1" applyBorder="1" applyAlignment="1">
      <alignment horizontal="right"/>
    </xf>
    <xf numFmtId="0" fontId="0" fillId="5" borderId="17" xfId="0" applyFill="1" applyBorder="1" applyAlignment="1">
      <alignment horizontal="right"/>
    </xf>
    <xf numFmtId="0" fontId="0" fillId="5" borderId="18" xfId="0" applyFill="1" applyBorder="1" applyAlignment="1">
      <alignment horizontal="right"/>
    </xf>
    <xf numFmtId="0" fontId="12" fillId="0" borderId="0" xfId="0" applyFont="1"/>
    <xf numFmtId="0" fontId="1" fillId="0" borderId="0" xfId="1"/>
    <xf numFmtId="0" fontId="13" fillId="0" borderId="0" xfId="0" applyFont="1" applyAlignment="1">
      <alignment vertical="center"/>
    </xf>
    <xf numFmtId="0" fontId="12" fillId="0" borderId="0" xfId="0" applyFont="1" applyAlignment="1">
      <alignment horizontal="right"/>
    </xf>
    <xf numFmtId="0" fontId="6" fillId="3" borderId="19" xfId="0" applyFont="1" applyFill="1" applyBorder="1" applyAlignment="1" applyProtection="1">
      <alignment horizontal="center"/>
    </xf>
    <xf numFmtId="0" fontId="6" fillId="3" borderId="21" xfId="0" applyFont="1" applyFill="1" applyBorder="1" applyAlignment="1" applyProtection="1">
      <alignment horizontal="center"/>
    </xf>
    <xf numFmtId="0" fontId="7" fillId="4" borderId="20" xfId="0" applyFont="1" applyFill="1" applyBorder="1" applyAlignment="1" applyProtection="1">
      <alignment horizontal="center"/>
    </xf>
    <xf numFmtId="0" fontId="7" fillId="5" borderId="17" xfId="0" applyFont="1" applyFill="1" applyBorder="1" applyAlignment="1" applyProtection="1">
      <alignment horizontal="center"/>
    </xf>
    <xf numFmtId="0" fontId="7" fillId="4" borderId="17" xfId="0" applyFont="1" applyFill="1" applyBorder="1" applyAlignment="1" applyProtection="1">
      <alignment horizontal="center"/>
    </xf>
    <xf numFmtId="0" fontId="7" fillId="5" borderId="29" xfId="0" applyFont="1" applyFill="1" applyBorder="1" applyAlignment="1" applyProtection="1">
      <alignment horizontal="center"/>
    </xf>
    <xf numFmtId="0" fontId="7" fillId="4" borderId="1" xfId="0" applyFont="1" applyFill="1" applyBorder="1" applyAlignment="1" applyProtection="1">
      <alignment horizontal="center"/>
    </xf>
    <xf numFmtId="164" fontId="7" fillId="5" borderId="30" xfId="0" applyNumberFormat="1" applyFont="1" applyFill="1" applyBorder="1" applyAlignment="1" applyProtection="1">
      <alignment horizontal="center"/>
      <protection locked="0"/>
    </xf>
    <xf numFmtId="164" fontId="7" fillId="5" borderId="31" xfId="0" applyNumberFormat="1" applyFont="1" applyFill="1" applyBorder="1" applyAlignment="1" applyProtection="1">
      <alignment horizontal="center"/>
      <protection locked="0"/>
    </xf>
    <xf numFmtId="164" fontId="7" fillId="5" borderId="32" xfId="0" applyNumberFormat="1" applyFont="1" applyFill="1" applyBorder="1" applyAlignment="1" applyProtection="1">
      <alignment horizontal="center"/>
      <protection locked="0"/>
    </xf>
    <xf numFmtId="164" fontId="7" fillId="5" borderId="33" xfId="0" applyNumberFormat="1" applyFont="1" applyFill="1" applyBorder="1" applyAlignment="1" applyProtection="1">
      <alignment horizontal="center"/>
      <protection locked="0"/>
    </xf>
    <xf numFmtId="164" fontId="7" fillId="5" borderId="34" xfId="0" applyNumberFormat="1" applyFont="1" applyFill="1" applyBorder="1" applyAlignment="1" applyProtection="1">
      <alignment horizontal="center"/>
      <protection locked="0"/>
    </xf>
    <xf numFmtId="164" fontId="7" fillId="5" borderId="35" xfId="0" applyNumberFormat="1" applyFont="1" applyFill="1" applyBorder="1" applyAlignment="1" applyProtection="1">
      <alignment horizontal="center"/>
      <protection locked="0"/>
    </xf>
    <xf numFmtId="0" fontId="0" fillId="4" borderId="17" xfId="0" applyFill="1" applyBorder="1" applyAlignment="1" applyProtection="1">
      <alignment horizontal="center"/>
      <protection locked="0"/>
    </xf>
    <xf numFmtId="0" fontId="0" fillId="5" borderId="17" xfId="0" applyFill="1" applyBorder="1" applyAlignment="1" applyProtection="1">
      <alignment horizontal="center"/>
      <protection locked="0"/>
    </xf>
    <xf numFmtId="3" fontId="0" fillId="4" borderId="8" xfId="0" applyNumberFormat="1" applyFill="1" applyBorder="1" applyAlignment="1" applyProtection="1">
      <alignment horizontal="center"/>
      <protection locked="0"/>
    </xf>
    <xf numFmtId="3" fontId="0" fillId="5" borderId="8" xfId="0" applyNumberFormat="1" applyFill="1" applyBorder="1" applyAlignment="1" applyProtection="1">
      <alignment horizontal="center"/>
      <protection locked="0"/>
    </xf>
    <xf numFmtId="0" fontId="4" fillId="4" borderId="7" xfId="0" applyFont="1" applyFill="1" applyBorder="1" applyAlignment="1">
      <alignment wrapText="1"/>
    </xf>
    <xf numFmtId="0" fontId="7" fillId="6" borderId="1" xfId="0" applyFont="1" applyFill="1" applyBorder="1" applyAlignment="1">
      <alignment horizontal="right"/>
    </xf>
    <xf numFmtId="166" fontId="7" fillId="6" borderId="1" xfId="0" applyNumberFormat="1" applyFont="1" applyFill="1" applyBorder="1" applyAlignment="1">
      <alignment horizontal="center"/>
    </xf>
    <xf numFmtId="2" fontId="0" fillId="0" borderId="0" xfId="0" applyNumberFormat="1" applyFill="1" applyBorder="1" applyAlignment="1">
      <alignment horizontal="center"/>
    </xf>
    <xf numFmtId="10" fontId="0" fillId="5" borderId="1" xfId="0" applyNumberFormat="1" applyFill="1" applyBorder="1" applyAlignment="1" applyProtection="1">
      <alignment horizontal="center"/>
      <protection locked="0"/>
    </xf>
    <xf numFmtId="0" fontId="0" fillId="0" borderId="0" xfId="0" applyProtection="1"/>
    <xf numFmtId="167" fontId="15" fillId="4" borderId="38" xfId="0" applyNumberFormat="1" applyFont="1" applyFill="1" applyBorder="1" applyAlignment="1">
      <alignment horizontal="right"/>
    </xf>
    <xf numFmtId="167" fontId="15" fillId="4" borderId="39" xfId="0" applyNumberFormat="1" applyFont="1" applyFill="1" applyBorder="1" applyAlignment="1">
      <alignment horizontal="right"/>
    </xf>
    <xf numFmtId="167" fontId="15" fillId="4" borderId="40" xfId="0" applyNumberFormat="1" applyFont="1" applyFill="1" applyBorder="1" applyAlignment="1">
      <alignment horizontal="right"/>
    </xf>
    <xf numFmtId="167" fontId="15" fillId="5" borderId="38" xfId="0" applyNumberFormat="1" applyFont="1" applyFill="1" applyBorder="1" applyAlignment="1">
      <alignment horizontal="right"/>
    </xf>
    <xf numFmtId="167" fontId="15" fillId="5" borderId="39" xfId="0" applyNumberFormat="1" applyFont="1" applyFill="1" applyBorder="1" applyAlignment="1">
      <alignment horizontal="right"/>
    </xf>
    <xf numFmtId="167" fontId="15" fillId="5" borderId="40" xfId="0" applyNumberFormat="1" applyFont="1" applyFill="1" applyBorder="1" applyAlignment="1">
      <alignment horizontal="right"/>
    </xf>
    <xf numFmtId="167" fontId="15" fillId="4" borderId="41" xfId="0" applyNumberFormat="1" applyFont="1" applyFill="1" applyBorder="1" applyAlignment="1">
      <alignment horizontal="right"/>
    </xf>
    <xf numFmtId="167" fontId="15" fillId="4" borderId="42" xfId="0" applyNumberFormat="1" applyFont="1" applyFill="1" applyBorder="1" applyAlignment="1">
      <alignment horizontal="right"/>
    </xf>
    <xf numFmtId="167" fontId="15" fillId="4" borderId="43" xfId="0" applyNumberFormat="1" applyFont="1" applyFill="1" applyBorder="1" applyAlignment="1">
      <alignment horizontal="right"/>
    </xf>
    <xf numFmtId="167" fontId="0" fillId="6" borderId="44" xfId="0" applyNumberFormat="1" applyFill="1" applyBorder="1" applyProtection="1"/>
    <xf numFmtId="167" fontId="0" fillId="6" borderId="45" xfId="0" applyNumberFormat="1" applyFill="1" applyBorder="1" applyProtection="1"/>
    <xf numFmtId="0" fontId="4" fillId="0" borderId="38" xfId="0" applyFont="1" applyBorder="1" applyProtection="1"/>
    <xf numFmtId="0" fontId="0" fillId="0" borderId="40" xfId="0" applyBorder="1" applyAlignment="1" applyProtection="1">
      <alignment horizontal="center"/>
    </xf>
    <xf numFmtId="0" fontId="0" fillId="2" borderId="40" xfId="0" applyFill="1" applyBorder="1" applyAlignment="1" applyProtection="1">
      <alignment horizontal="center"/>
      <protection locked="0"/>
    </xf>
    <xf numFmtId="10" fontId="0" fillId="0" borderId="40" xfId="0" applyNumberFormat="1" applyBorder="1" applyAlignment="1" applyProtection="1">
      <alignment horizontal="center"/>
    </xf>
    <xf numFmtId="0" fontId="0" fillId="10" borderId="48" xfId="0" applyFill="1" applyBorder="1" applyAlignment="1">
      <alignment horizontal="center" vertical="center"/>
    </xf>
    <xf numFmtId="0" fontId="0" fillId="10" borderId="49" xfId="0" applyFill="1" applyBorder="1" applyAlignment="1">
      <alignment horizontal="center"/>
    </xf>
    <xf numFmtId="0" fontId="0" fillId="0" borderId="0" xfId="0" applyAlignment="1" applyProtection="1">
      <alignment vertical="center"/>
    </xf>
    <xf numFmtId="0" fontId="14" fillId="0" borderId="38" xfId="0" applyFont="1" applyBorder="1" applyAlignment="1" applyProtection="1">
      <alignment horizontal="center" vertical="center"/>
    </xf>
    <xf numFmtId="0" fontId="0" fillId="10" borderId="40" xfId="0" applyFill="1" applyBorder="1" applyAlignment="1" applyProtection="1">
      <alignment horizontal="center" vertical="center"/>
    </xf>
    <xf numFmtId="0" fontId="0" fillId="9" borderId="0" xfId="0" applyFill="1" applyBorder="1" applyAlignment="1">
      <alignment horizontal="center"/>
    </xf>
    <xf numFmtId="0" fontId="0" fillId="9" borderId="0" xfId="0" applyFill="1" applyBorder="1"/>
    <xf numFmtId="0" fontId="0" fillId="9" borderId="51" xfId="0" applyFill="1" applyBorder="1"/>
    <xf numFmtId="0" fontId="0" fillId="9" borderId="52" xfId="0" applyFill="1" applyBorder="1"/>
    <xf numFmtId="0" fontId="0" fillId="0" borderId="53" xfId="0" applyBorder="1" applyProtection="1"/>
    <xf numFmtId="0" fontId="0" fillId="0" borderId="53" xfId="0" applyFill="1" applyBorder="1" applyProtection="1"/>
    <xf numFmtId="0" fontId="4" fillId="0" borderId="39" xfId="0" applyFont="1" applyBorder="1" applyProtection="1"/>
    <xf numFmtId="0" fontId="0" fillId="0" borderId="0" xfId="0" applyFill="1" applyAlignment="1" applyProtection="1">
      <alignment vertical="center"/>
    </xf>
    <xf numFmtId="0" fontId="14" fillId="0" borderId="0" xfId="0" applyFont="1" applyFill="1" applyAlignment="1" applyProtection="1">
      <alignment vertical="center"/>
    </xf>
    <xf numFmtId="0" fontId="4" fillId="0" borderId="54" xfId="0" applyFont="1" applyFill="1" applyBorder="1" applyAlignment="1">
      <alignment horizontal="left"/>
    </xf>
    <xf numFmtId="0" fontId="0" fillId="2" borderId="40" xfId="0" applyNumberFormat="1" applyFill="1" applyBorder="1" applyAlignment="1" applyProtection="1">
      <alignment horizontal="center"/>
      <protection locked="0"/>
    </xf>
    <xf numFmtId="9" fontId="0" fillId="2" borderId="40" xfId="0" applyNumberFormat="1" applyFill="1" applyBorder="1" applyAlignment="1" applyProtection="1">
      <alignment horizontal="center"/>
      <protection locked="0"/>
    </xf>
    <xf numFmtId="0" fontId="0" fillId="2" borderId="54" xfId="0" applyNumberFormat="1" applyFill="1" applyBorder="1" applyAlignment="1" applyProtection="1">
      <alignment horizontal="center"/>
      <protection locked="0"/>
    </xf>
    <xf numFmtId="9" fontId="0" fillId="2" borderId="54" xfId="0" applyNumberFormat="1" applyFill="1" applyBorder="1" applyAlignment="1" applyProtection="1">
      <alignment horizontal="center"/>
      <protection locked="0"/>
    </xf>
    <xf numFmtId="0" fontId="4" fillId="0" borderId="38" xfId="0" applyFont="1" applyFill="1" applyBorder="1" applyAlignment="1">
      <alignment horizontal="left"/>
    </xf>
    <xf numFmtId="0" fontId="16" fillId="0" borderId="0" xfId="0" applyFont="1"/>
    <xf numFmtId="0" fontId="16" fillId="0" borderId="0" xfId="0" applyFont="1" applyAlignment="1">
      <alignment wrapText="1"/>
    </xf>
    <xf numFmtId="0" fontId="7" fillId="11" borderId="17" xfId="0" applyFont="1" applyFill="1" applyBorder="1" applyAlignment="1">
      <alignment horizontal="right"/>
    </xf>
    <xf numFmtId="0" fontId="16" fillId="11" borderId="0" xfId="0" applyFont="1" applyFill="1" applyAlignment="1">
      <alignment wrapText="1"/>
    </xf>
    <xf numFmtId="0" fontId="16" fillId="12" borderId="0" xfId="0" applyFont="1" applyFill="1" applyAlignment="1">
      <alignment wrapText="1"/>
    </xf>
    <xf numFmtId="0" fontId="7" fillId="12" borderId="17" xfId="0" applyFont="1" applyFill="1" applyBorder="1" applyAlignment="1">
      <alignment horizontal="right"/>
    </xf>
    <xf numFmtId="0" fontId="8" fillId="9" borderId="50" xfId="0" applyFont="1" applyFill="1" applyBorder="1" applyAlignment="1">
      <alignment horizontal="left"/>
    </xf>
    <xf numFmtId="0" fontId="8" fillId="9" borderId="51" xfId="0" applyFont="1" applyFill="1" applyBorder="1" applyAlignment="1">
      <alignment horizontal="left"/>
    </xf>
    <xf numFmtId="0" fontId="4" fillId="2" borderId="20" xfId="0" applyFont="1" applyFill="1" applyBorder="1" applyAlignment="1">
      <alignment horizontal="center"/>
    </xf>
    <xf numFmtId="0" fontId="4" fillId="2" borderId="22" xfId="0" applyFont="1" applyFill="1" applyBorder="1" applyAlignment="1">
      <alignment horizontal="center"/>
    </xf>
    <xf numFmtId="0" fontId="4" fillId="2" borderId="20"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3" borderId="17" xfId="0" applyFont="1" applyFill="1" applyBorder="1" applyAlignment="1">
      <alignment horizontal="center" vertical="center"/>
    </xf>
    <xf numFmtId="0" fontId="5" fillId="2" borderId="27" xfId="0" applyFont="1" applyFill="1" applyBorder="1" applyAlignment="1" applyProtection="1">
      <alignment horizontal="center" vertical="center"/>
    </xf>
    <xf numFmtId="0" fontId="5" fillId="2" borderId="28" xfId="0" applyFont="1" applyFill="1" applyBorder="1" applyAlignment="1" applyProtection="1">
      <alignment horizontal="center" vertical="center"/>
    </xf>
    <xf numFmtId="0" fontId="5" fillId="2" borderId="22" xfId="0" applyFont="1" applyFill="1" applyBorder="1" applyAlignment="1" applyProtection="1">
      <alignment horizontal="center"/>
    </xf>
    <xf numFmtId="0" fontId="5" fillId="2" borderId="25" xfId="0" applyFont="1" applyFill="1" applyBorder="1" applyAlignment="1" applyProtection="1">
      <alignment horizontal="center"/>
    </xf>
    <xf numFmtId="0" fontId="5" fillId="2" borderId="26" xfId="0" applyFont="1" applyFill="1" applyBorder="1" applyAlignment="1" applyProtection="1">
      <alignment horizontal="center"/>
    </xf>
    <xf numFmtId="0" fontId="0" fillId="0" borderId="0" xfId="0" applyAlignment="1">
      <alignment horizontal="left" wrapText="1"/>
    </xf>
    <xf numFmtId="0" fontId="5" fillId="6" borderId="11" xfId="0" applyFont="1" applyFill="1" applyBorder="1" applyAlignment="1">
      <alignment horizontal="right"/>
    </xf>
    <xf numFmtId="0" fontId="5" fillId="6" borderId="16" xfId="0" applyFont="1" applyFill="1" applyBorder="1" applyAlignment="1">
      <alignment horizontal="right"/>
    </xf>
    <xf numFmtId="0" fontId="5" fillId="2" borderId="10"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0" fillId="8" borderId="17" xfId="0" applyFill="1" applyBorder="1" applyAlignment="1">
      <alignment horizontal="right"/>
    </xf>
    <xf numFmtId="0" fontId="0" fillId="8" borderId="1" xfId="0" applyFill="1" applyBorder="1" applyAlignment="1">
      <alignment horizontal="right"/>
    </xf>
    <xf numFmtId="0" fontId="0" fillId="8" borderId="1" xfId="0" applyFill="1" applyBorder="1" applyAlignment="1">
      <alignment horizontal="center"/>
    </xf>
    <xf numFmtId="0" fontId="0" fillId="8" borderId="7" xfId="0" applyFill="1" applyBorder="1" applyAlignment="1">
      <alignment horizontal="center"/>
    </xf>
    <xf numFmtId="0" fontId="0" fillId="7" borderId="18" xfId="0" applyFill="1" applyBorder="1" applyAlignment="1">
      <alignment horizontal="right"/>
    </xf>
    <xf numFmtId="0" fontId="0" fillId="7" borderId="9" xfId="0" applyFill="1" applyBorder="1" applyAlignment="1">
      <alignment horizontal="right"/>
    </xf>
    <xf numFmtId="0" fontId="0" fillId="7" borderId="9" xfId="0" applyFill="1" applyBorder="1" applyAlignment="1">
      <alignment horizontal="center"/>
    </xf>
    <xf numFmtId="0" fontId="0" fillId="7" borderId="6" xfId="0" applyFill="1" applyBorder="1" applyAlignment="1">
      <alignment horizontal="center"/>
    </xf>
    <xf numFmtId="2" fontId="0" fillId="8" borderId="1" xfId="0" applyNumberFormat="1" applyFill="1" applyBorder="1" applyAlignment="1">
      <alignment horizontal="center"/>
    </xf>
    <xf numFmtId="2" fontId="0" fillId="8" borderId="7" xfId="0" applyNumberFormat="1" applyFill="1" applyBorder="1" applyAlignment="1">
      <alignment horizontal="center"/>
    </xf>
    <xf numFmtId="0" fontId="0" fillId="7" borderId="17" xfId="0" applyFill="1" applyBorder="1" applyAlignment="1">
      <alignment horizontal="right"/>
    </xf>
    <xf numFmtId="0" fontId="0" fillId="7" borderId="1" xfId="0" applyFill="1" applyBorder="1" applyAlignment="1">
      <alignment horizontal="right"/>
    </xf>
    <xf numFmtId="0" fontId="0" fillId="7" borderId="1" xfId="0" applyFill="1" applyBorder="1" applyAlignment="1">
      <alignment horizontal="center"/>
    </xf>
    <xf numFmtId="0" fontId="0" fillId="7" borderId="7" xfId="0" applyFill="1" applyBorder="1" applyAlignment="1">
      <alignment horizont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0" fillId="7" borderId="10" xfId="0" applyFill="1" applyBorder="1" applyAlignment="1">
      <alignment horizontal="right"/>
    </xf>
    <xf numFmtId="0" fontId="0" fillId="7" borderId="4" xfId="0" applyFill="1" applyBorder="1" applyAlignment="1">
      <alignment horizontal="right"/>
    </xf>
    <xf numFmtId="0" fontId="0" fillId="7" borderId="4" xfId="0" applyFill="1" applyBorder="1" applyAlignment="1">
      <alignment horizontal="center"/>
    </xf>
    <xf numFmtId="0" fontId="0" fillId="7" borderId="5" xfId="0" applyFill="1" applyBorder="1" applyAlignment="1">
      <alignment horizontal="center"/>
    </xf>
    <xf numFmtId="0" fontId="5" fillId="0" borderId="0" xfId="0" applyFont="1" applyFill="1" applyBorder="1" applyAlignment="1">
      <alignment horizontal="right"/>
    </xf>
    <xf numFmtId="2" fontId="0" fillId="7" borderId="1" xfId="0" applyNumberFormat="1" applyFill="1" applyBorder="1" applyAlignment="1">
      <alignment horizontal="center"/>
    </xf>
    <xf numFmtId="2" fontId="0" fillId="7" borderId="7" xfId="0" applyNumberFormat="1" applyFill="1" applyBorder="1" applyAlignment="1">
      <alignment horizontal="center"/>
    </xf>
    <xf numFmtId="2" fontId="0" fillId="7" borderId="9" xfId="0" applyNumberFormat="1" applyFill="1" applyBorder="1" applyAlignment="1">
      <alignment horizontal="center"/>
    </xf>
    <xf numFmtId="2" fontId="0" fillId="7" borderId="6" xfId="0" applyNumberForma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2" borderId="13" xfId="0" applyFont="1" applyFill="1" applyBorder="1" applyAlignment="1">
      <alignment horizontal="center"/>
    </xf>
    <xf numFmtId="0" fontId="0" fillId="7" borderId="20" xfId="0" applyFill="1" applyBorder="1" applyAlignment="1">
      <alignment horizontal="right"/>
    </xf>
    <xf numFmtId="0" fontId="0" fillId="7" borderId="2" xfId="0" applyFill="1" applyBorder="1" applyAlignment="1">
      <alignment horizontal="right"/>
    </xf>
    <xf numFmtId="2" fontId="0" fillId="7" borderId="2" xfId="0" applyNumberFormat="1" applyFill="1" applyBorder="1" applyAlignment="1">
      <alignment horizontal="center"/>
    </xf>
    <xf numFmtId="2" fontId="0" fillId="7" borderId="3" xfId="0" applyNumberFormat="1" applyFill="1" applyBorder="1" applyAlignment="1">
      <alignment horizontal="center"/>
    </xf>
    <xf numFmtId="2" fontId="0" fillId="7" borderId="8" xfId="0" applyNumberFormat="1" applyFill="1" applyBorder="1" applyAlignment="1">
      <alignment horizontal="center"/>
    </xf>
    <xf numFmtId="2" fontId="0" fillId="7" borderId="36" xfId="0" applyNumberFormat="1" applyFill="1" applyBorder="1" applyAlignment="1">
      <alignment horizontal="center"/>
    </xf>
    <xf numFmtId="2" fontId="0" fillId="8" borderId="8" xfId="0" applyNumberFormat="1" applyFill="1" applyBorder="1" applyAlignment="1">
      <alignment horizontal="center"/>
    </xf>
    <xf numFmtId="2" fontId="0" fillId="8" borderId="36" xfId="0" applyNumberFormat="1" applyFill="1" applyBorder="1" applyAlignment="1">
      <alignment horizontal="center"/>
    </xf>
    <xf numFmtId="2" fontId="0" fillId="7" borderId="22" xfId="0" applyNumberFormat="1" applyFill="1" applyBorder="1" applyAlignment="1">
      <alignment horizontal="center"/>
    </xf>
    <xf numFmtId="2" fontId="0" fillId="7" borderId="26" xfId="0" applyNumberFormat="1" applyFill="1" applyBorder="1" applyAlignment="1">
      <alignment horizontal="center"/>
    </xf>
    <xf numFmtId="2" fontId="0" fillId="7" borderId="23" xfId="0" applyNumberFormat="1" applyFill="1" applyBorder="1" applyAlignment="1">
      <alignment horizontal="center"/>
    </xf>
    <xf numFmtId="2" fontId="0" fillId="7" borderId="37" xfId="0" applyNumberFormat="1" applyFill="1" applyBorder="1" applyAlignment="1">
      <alignment horizontal="center"/>
    </xf>
    <xf numFmtId="0" fontId="5" fillId="10" borderId="46" xfId="0" applyFont="1" applyFill="1" applyBorder="1" applyAlignment="1" applyProtection="1">
      <alignment horizontal="center" vertical="center"/>
    </xf>
    <xf numFmtId="0" fontId="5" fillId="10" borderId="47" xfId="0" applyFont="1" applyFill="1" applyBorder="1" applyAlignment="1" applyProtection="1">
      <alignment horizontal="center" vertical="center"/>
    </xf>
    <xf numFmtId="0" fontId="5" fillId="6" borderId="11" xfId="0" applyFont="1" applyFill="1" applyBorder="1" applyAlignment="1" applyProtection="1">
      <alignment horizontal="right"/>
    </xf>
    <xf numFmtId="0" fontId="5" fillId="6" borderId="16" xfId="0" applyFont="1" applyFill="1" applyBorder="1" applyAlignment="1" applyProtection="1">
      <alignment horizontal="right"/>
    </xf>
    <xf numFmtId="0" fontId="5" fillId="10" borderId="10" xfId="0" applyFont="1" applyFill="1" applyBorder="1" applyAlignment="1" applyProtection="1">
      <alignment horizontal="center" vertical="center"/>
    </xf>
    <xf numFmtId="0" fontId="5" fillId="10" borderId="17" xfId="0" applyFont="1" applyFill="1" applyBorder="1" applyAlignment="1" applyProtection="1">
      <alignment horizontal="center" vertical="center"/>
    </xf>
    <xf numFmtId="0" fontId="5" fillId="10" borderId="55" xfId="0" applyFont="1" applyFill="1" applyBorder="1" applyAlignment="1" applyProtection="1">
      <alignment horizontal="center" vertical="center"/>
    </xf>
    <xf numFmtId="0" fontId="5" fillId="10" borderId="56" xfId="0" applyFont="1" applyFill="1" applyBorder="1" applyAlignment="1" applyProtection="1">
      <alignment horizontal="center" vertical="center"/>
    </xf>
    <xf numFmtId="0" fontId="5" fillId="10" borderId="38" xfId="0" applyFont="1" applyFill="1" applyBorder="1" applyAlignment="1" applyProtection="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xdr:colOff>
      <xdr:row>16</xdr:row>
      <xdr:rowOff>16436</xdr:rowOff>
    </xdr:from>
    <xdr:to>
      <xdr:col>6</xdr:col>
      <xdr:colOff>12980</xdr:colOff>
      <xdr:row>78</xdr:row>
      <xdr:rowOff>11075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 y="3826436"/>
          <a:ext cx="10811671" cy="10981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6000"/>
            </a:lnSpc>
            <a:spcBef>
              <a:spcPts val="0"/>
            </a:spcBef>
            <a:spcAft>
              <a:spcPts val="800"/>
            </a:spcAft>
          </a:pPr>
          <a:r>
            <a:rPr lang="en-US" sz="1100" b="1" u="sng" kern="100">
              <a:effectLst/>
              <a:latin typeface="Calibri" panose="020F0502020204030204" pitchFamily="34" charset="0"/>
              <a:ea typeface="Calibri" panose="020F0502020204030204" pitchFamily="34" charset="0"/>
              <a:cs typeface="Times New Roman" panose="02020603050405020304" pitchFamily="18" charset="0"/>
            </a:rPr>
            <a:t>Landfill Emissions</a:t>
          </a:r>
          <a:r>
            <a:rPr lang="en-US" sz="1100" b="1" u="sng" kern="100" baseline="0">
              <a:effectLst/>
              <a:latin typeface="Calibri" panose="020F0502020204030204" pitchFamily="34" charset="0"/>
              <a:ea typeface="Calibri" panose="020F0502020204030204" pitchFamily="34" charset="0"/>
              <a:cs typeface="Times New Roman" panose="02020603050405020304" pitchFamily="18" charset="0"/>
            </a:rPr>
            <a:t> Calculation Tool </a:t>
          </a:r>
          <a:endParaRPr lang="en-US" sz="1100" b="1" u="sng"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6000"/>
            </a:lnSpc>
            <a:spcBef>
              <a:spcPts val="0"/>
            </a:spcBef>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This workbook calculates emissions from landfill and equipment related to landfill gas. The workbook is divided up into 7 tabs: </a:t>
          </a:r>
          <a:r>
            <a:rPr lang="en-US" sz="1100" b="1" kern="100">
              <a:effectLst/>
              <a:latin typeface="Calibri" panose="020F0502020204030204" pitchFamily="34" charset="0"/>
              <a:ea typeface="Calibri" panose="020F0502020204030204" pitchFamily="34" charset="0"/>
              <a:cs typeface="Times New Roman" panose="02020603050405020304" pitchFamily="18" charset="0"/>
            </a:rPr>
            <a:t>Tool Guidance</a:t>
          </a:r>
          <a:r>
            <a:rPr lang="en-US" sz="1100" kern="100">
              <a:effectLst/>
              <a:latin typeface="Calibri" panose="020F0502020204030204" pitchFamily="34" charset="0"/>
              <a:ea typeface="Calibri" panose="020F0502020204030204" pitchFamily="34" charset="0"/>
              <a:cs typeface="Times New Roman" panose="02020603050405020304" pitchFamily="18" charset="0"/>
            </a:rPr>
            <a:t>, </a:t>
          </a:r>
          <a:r>
            <a:rPr lang="en-US" sz="1100" b="1" kern="100">
              <a:effectLst/>
              <a:latin typeface="Calibri" panose="020F0502020204030204" pitchFamily="34" charset="0"/>
              <a:ea typeface="Calibri" panose="020F0502020204030204" pitchFamily="34" charset="0"/>
              <a:cs typeface="Times New Roman" panose="02020603050405020304" pitchFamily="18" charset="0"/>
            </a:rPr>
            <a:t>UserInputs, LandGEMOutputs</a:t>
          </a:r>
          <a:r>
            <a:rPr lang="en-US" sz="1100" kern="100">
              <a:effectLst/>
              <a:latin typeface="Calibri" panose="020F0502020204030204" pitchFamily="34" charset="0"/>
              <a:ea typeface="Calibri" panose="020F0502020204030204" pitchFamily="34" charset="0"/>
              <a:cs typeface="Times New Roman" panose="02020603050405020304" pitchFamily="18" charset="0"/>
            </a:rPr>
            <a:t>, </a:t>
          </a:r>
          <a:r>
            <a:rPr lang="en-US" sz="1100" b="1" kern="100">
              <a:effectLst/>
              <a:latin typeface="Calibri" panose="020F0502020204030204" pitchFamily="34" charset="0"/>
              <a:ea typeface="Calibri" panose="020F0502020204030204" pitchFamily="34" charset="0"/>
              <a:cs typeface="Times New Roman" panose="02020603050405020304" pitchFamily="18" charset="0"/>
            </a:rPr>
            <a:t>EmissionsSummary_NoFlare,  EmissionsSummary_withOneFlare</a:t>
          </a:r>
          <a:r>
            <a:rPr lang="en-US" sz="1100" kern="100">
              <a:effectLst/>
              <a:latin typeface="Calibri" panose="020F0502020204030204" pitchFamily="34" charset="0"/>
              <a:ea typeface="Calibri" panose="020F0502020204030204" pitchFamily="34" charset="0"/>
              <a:cs typeface="Times New Roman" panose="02020603050405020304" pitchFamily="18" charset="0"/>
            </a:rPr>
            <a:t>,</a:t>
          </a:r>
          <a:r>
            <a:rPr lang="en-US" sz="1100" kern="100" baseline="0">
              <a:effectLst/>
              <a:latin typeface="Calibri" panose="020F0502020204030204" pitchFamily="34" charset="0"/>
              <a:ea typeface="Calibri" panose="020F0502020204030204" pitchFamily="34" charset="0"/>
              <a:cs typeface="Times New Roman" panose="02020603050405020304" pitchFamily="18" charset="0"/>
            </a:rPr>
            <a:t> </a:t>
          </a:r>
          <a:r>
            <a:rPr lang="en-US" sz="1100" b="1" kern="100" baseline="0">
              <a:effectLst/>
              <a:latin typeface="Calibri" panose="020F0502020204030204" pitchFamily="34" charset="0"/>
              <a:ea typeface="Calibri" panose="020F0502020204030204" pitchFamily="34" charset="0"/>
              <a:cs typeface="Times New Roman" panose="02020603050405020304" pitchFamily="18" charset="0"/>
            </a:rPr>
            <a:t>EmissSum_MultiFlares</a:t>
          </a:r>
          <a:r>
            <a:rPr lang="en-US" sz="1100" kern="100" baseline="0">
              <a:effectLst/>
              <a:latin typeface="Calibri" panose="020F0502020204030204" pitchFamily="34" charset="0"/>
              <a:ea typeface="Calibri" panose="020F0502020204030204" pitchFamily="34" charset="0"/>
              <a:cs typeface="Times New Roman" panose="02020603050405020304" pitchFamily="18" charset="0"/>
            </a:rPr>
            <a:t> and </a:t>
          </a:r>
          <a:r>
            <a:rPr lang="en-US" sz="1100" b="1" kern="100" baseline="0">
              <a:effectLst/>
              <a:latin typeface="Calibri" panose="020F0502020204030204" pitchFamily="34" charset="0"/>
              <a:ea typeface="Calibri" panose="020F0502020204030204" pitchFamily="34" charset="0"/>
              <a:cs typeface="Times New Roman" panose="02020603050405020304" pitchFamily="18" charset="0"/>
            </a:rPr>
            <a:t>EmissSum_MultiFlaresINPUT</a:t>
          </a:r>
          <a:r>
            <a:rPr lang="en-US" sz="1100" kern="100" baseline="0">
              <a:effectLst/>
              <a:latin typeface="Calibri" panose="020F0502020204030204" pitchFamily="34" charset="0"/>
              <a:ea typeface="Calibri" panose="020F0502020204030204" pitchFamily="34" charset="0"/>
              <a:cs typeface="Times New Roman" panose="02020603050405020304" pitchFamily="18" charset="0"/>
            </a:rPr>
            <a:t>.</a:t>
          </a:r>
          <a:r>
            <a:rPr lang="en-US" sz="1100" kern="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6000"/>
            </a:lnSpc>
            <a:spcBef>
              <a:spcPts val="0"/>
            </a:spcBef>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_______________________________________________________________________________________________________________________________________________</a:t>
          </a:r>
        </a:p>
        <a:p>
          <a:pPr marL="0" marR="0">
            <a:lnSpc>
              <a:spcPct val="106000"/>
            </a:lnSpc>
            <a:spcBef>
              <a:spcPts val="0"/>
            </a:spcBef>
            <a:spcAft>
              <a:spcPts val="800"/>
            </a:spcAft>
          </a:pPr>
          <a:r>
            <a:rPr lang="en-US" sz="1100" kern="100">
              <a:effectLst/>
              <a:latin typeface="Calibri" panose="020F0502020204030204" pitchFamily="34" charset="0"/>
              <a:ea typeface="Calibri" panose="020F0502020204030204" pitchFamily="34" charset="0"/>
              <a:cs typeface="Times New Roman" panose="02020603050405020304" pitchFamily="18" charset="0"/>
            </a:rPr>
            <a:t>This</a:t>
          </a:r>
          <a:r>
            <a:rPr lang="en-US" sz="1100" kern="100" baseline="0">
              <a:effectLst/>
              <a:latin typeface="Calibri" panose="020F0502020204030204" pitchFamily="34" charset="0"/>
              <a:ea typeface="Calibri" panose="020F0502020204030204" pitchFamily="34" charset="0"/>
              <a:cs typeface="Times New Roman" panose="02020603050405020304" pitchFamily="18" charset="0"/>
            </a:rPr>
            <a:t> Tool Guidance tab will give you step-by-step instructions on using this workbook with the PDFs attached above for more detailed reference.</a:t>
          </a:r>
        </a:p>
        <a:p>
          <a:pPr marL="0" marR="0">
            <a:lnSpc>
              <a:spcPct val="106000"/>
            </a:lnSpc>
            <a:spcBef>
              <a:spcPts val="0"/>
            </a:spcBef>
            <a:spcAft>
              <a:spcPts val="800"/>
            </a:spcAft>
          </a:pPr>
          <a:r>
            <a:rPr lang="en-US" sz="1100" kern="100" baseline="0">
              <a:effectLst/>
              <a:latin typeface="Calibri" panose="020F0502020204030204" pitchFamily="34" charset="0"/>
              <a:ea typeface="Calibri" panose="020F0502020204030204" pitchFamily="34" charset="0"/>
              <a:cs typeface="Times New Roman" panose="02020603050405020304" pitchFamily="18" charset="0"/>
            </a:rPr>
            <a:t>To get started here are some data elements that are needed for the calculations in this workbook and/or LandGEM.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6000"/>
            </a:lnSpc>
            <a:spcBef>
              <a:spcPts val="0"/>
            </a:spcBef>
            <a:spcAft>
              <a:spcPts val="800"/>
            </a:spcAft>
          </a:pPr>
          <a:r>
            <a:rPr lang="en-US" sz="1100" b="1" u="sng" kern="100">
              <a:effectLst/>
              <a:latin typeface="Calibri" panose="020F0502020204030204" pitchFamily="34" charset="0"/>
              <a:ea typeface="Calibri" panose="020F0502020204030204" pitchFamily="34" charset="0"/>
              <a:cs typeface="Times New Roman" panose="02020603050405020304" pitchFamily="18" charset="0"/>
            </a:rPr>
            <a:t>Values</a:t>
          </a:r>
          <a:r>
            <a:rPr lang="en-US" sz="1100" b="1" u="sng" kern="100" baseline="0">
              <a:effectLst/>
              <a:latin typeface="Calibri" panose="020F0502020204030204" pitchFamily="34" charset="0"/>
              <a:ea typeface="Calibri" panose="020F0502020204030204" pitchFamily="34" charset="0"/>
              <a:cs typeface="Times New Roman" panose="02020603050405020304" pitchFamily="18" charset="0"/>
            </a:rPr>
            <a:t> needed to calculate the </a:t>
          </a:r>
          <a:r>
            <a:rPr lang="en-US" sz="1100" b="1" u="sng" kern="100">
              <a:effectLst/>
              <a:latin typeface="Calibri" panose="020F0502020204030204" pitchFamily="34" charset="0"/>
              <a:ea typeface="Calibri" panose="020F0502020204030204" pitchFamily="34" charset="0"/>
              <a:cs typeface="Times New Roman" panose="02020603050405020304" pitchFamily="18" charset="0"/>
            </a:rPr>
            <a:t>fugitive landfill emissions include:</a:t>
          </a:r>
        </a:p>
        <a:p>
          <a:pPr marL="628650" marR="0" lvl="1" indent="-171450">
            <a:lnSpc>
              <a:spcPct val="106000"/>
            </a:lnSpc>
            <a:spcBef>
              <a:spcPts val="0"/>
            </a:spcBef>
            <a:spcAft>
              <a:spcPts val="0"/>
            </a:spcAft>
            <a:buFont typeface="Arial" panose="020B0604020202020204" pitchFamily="34" charset="0"/>
            <a:buChar char="•"/>
          </a:pPr>
          <a:r>
            <a:rPr lang="en-US" sz="1100" kern="100">
              <a:effectLst/>
              <a:latin typeface="Calibri" panose="020F0502020204030204" pitchFamily="34" charset="0"/>
              <a:ea typeface="Calibri" panose="020F0502020204030204" pitchFamily="34" charset="0"/>
              <a:cs typeface="Times New Roman" panose="02020603050405020304" pitchFamily="18" charset="0"/>
            </a:rPr>
            <a:t>The opening year of the landfill</a:t>
          </a:r>
        </a:p>
        <a:p>
          <a:pPr marL="628650" marR="0" lvl="1" indent="-171450">
            <a:lnSpc>
              <a:spcPct val="106000"/>
            </a:lnSpc>
            <a:spcBef>
              <a:spcPts val="0"/>
            </a:spcBef>
            <a:spcAft>
              <a:spcPts val="0"/>
            </a:spcAft>
            <a:buFont typeface="Arial" panose="020B0604020202020204" pitchFamily="34" charset="0"/>
            <a:buChar char="•"/>
          </a:pPr>
          <a:r>
            <a:rPr lang="en-US" sz="1100" kern="100">
              <a:effectLst/>
              <a:latin typeface="Calibri" panose="020F0502020204030204" pitchFamily="34" charset="0"/>
              <a:ea typeface="Calibri" panose="020F0502020204030204" pitchFamily="34" charset="0"/>
              <a:cs typeface="Times New Roman" panose="02020603050405020304" pitchFamily="18" charset="0"/>
            </a:rPr>
            <a:t>The closure year of the landfill (is applicable)</a:t>
          </a:r>
        </a:p>
        <a:p>
          <a:pPr marL="628650" marR="0" lvl="1" indent="-171450">
            <a:lnSpc>
              <a:spcPct val="106000"/>
            </a:lnSpc>
            <a:spcBef>
              <a:spcPts val="0"/>
            </a:spcBef>
            <a:spcAft>
              <a:spcPts val="0"/>
            </a:spcAft>
            <a:buFont typeface="Arial" panose="020B0604020202020204" pitchFamily="34" charset="0"/>
            <a:buChar char="•"/>
          </a:pPr>
          <a:r>
            <a:rPr lang="en-US" sz="1100" kern="100">
              <a:effectLst/>
              <a:latin typeface="Calibri" panose="020F0502020204030204" pitchFamily="34" charset="0"/>
              <a:ea typeface="Calibri" panose="020F0502020204030204" pitchFamily="34" charset="0"/>
              <a:cs typeface="Times New Roman" panose="02020603050405020304" pitchFamily="18" charset="0"/>
            </a:rPr>
            <a:t>Waste acceptance rates since the opening year of the landfill</a:t>
          </a:r>
        </a:p>
        <a:p>
          <a:pPr marL="628650" marR="0" lvl="1" indent="-171450">
            <a:lnSpc>
              <a:spcPct val="106000"/>
            </a:lnSpc>
            <a:spcBef>
              <a:spcPts val="0"/>
            </a:spcBef>
            <a:spcAft>
              <a:spcPts val="0"/>
            </a:spcAft>
            <a:buFont typeface="Arial" panose="020B0604020202020204" pitchFamily="34" charset="0"/>
            <a:buChar char="•"/>
          </a:pPr>
          <a:r>
            <a:rPr lang="en-US" sz="1100" kern="100">
              <a:effectLst/>
              <a:latin typeface="Calibri" panose="020F0502020204030204" pitchFamily="34" charset="0"/>
              <a:ea typeface="Calibri" panose="020F0502020204030204" pitchFamily="34" charset="0"/>
              <a:cs typeface="Times New Roman" panose="02020603050405020304" pitchFamily="18" charset="0"/>
            </a:rPr>
            <a:t>Methane Generation Rate, k (year-1)</a:t>
          </a:r>
        </a:p>
        <a:p>
          <a:pPr marL="628650" marR="0" lvl="1" indent="-171450" defTabSz="914400" eaLnBrk="1" fontAlgn="auto" latinLnBrk="0" hangingPunct="1">
            <a:lnSpc>
              <a:spcPct val="106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Degradable</a:t>
          </a:r>
          <a:r>
            <a:rPr lang="en-US" sz="1100" baseline="0">
              <a:solidFill>
                <a:schemeClr val="dk1"/>
              </a:solidFill>
              <a:effectLst/>
              <a:latin typeface="+mn-lt"/>
              <a:ea typeface="+mn-ea"/>
              <a:cs typeface="+mn-cs"/>
            </a:rPr>
            <a:t> Organic Carbon (DOC)</a:t>
          </a:r>
          <a:endParaRPr lang="en-US" sz="1100">
            <a:solidFill>
              <a:schemeClr val="dk1"/>
            </a:solidFill>
            <a:effectLst/>
            <a:latin typeface="+mn-lt"/>
            <a:ea typeface="+mn-ea"/>
            <a:cs typeface="+mn-cs"/>
          </a:endParaRPr>
        </a:p>
        <a:p>
          <a:pPr marL="628650" marR="0" lvl="1" indent="-171450" defTabSz="914400" eaLnBrk="1" fontAlgn="auto" latinLnBrk="0" hangingPunct="1">
            <a:lnSpc>
              <a:spcPct val="106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NMOC Concentration (ppmv as Hexane) 2,400 ppmv default if co-disposal. 600 ppmv default if not co-disposal before 1992, 550 ppmv default if</a:t>
          </a:r>
          <a:r>
            <a:rPr lang="en-US" sz="1100" baseline="0">
              <a:solidFill>
                <a:schemeClr val="dk1"/>
              </a:solidFill>
              <a:effectLst/>
              <a:latin typeface="+mn-lt"/>
              <a:ea typeface="+mn-ea"/>
              <a:cs typeface="+mn-cs"/>
            </a:rPr>
            <a:t> not co-disposal on or after 1992.</a:t>
          </a:r>
          <a:endParaRPr lang="en-US" sz="1100">
            <a:solidFill>
              <a:schemeClr val="dk1"/>
            </a:solidFill>
            <a:effectLst/>
            <a:latin typeface="+mn-lt"/>
            <a:ea typeface="+mn-ea"/>
            <a:cs typeface="+mn-cs"/>
          </a:endParaRPr>
        </a:p>
        <a:p>
          <a:pPr marL="628650" marR="0" lvl="1" indent="-171450" defTabSz="914400" eaLnBrk="1" fontAlgn="auto" latinLnBrk="0" hangingPunct="1">
            <a:lnSpc>
              <a:spcPct val="106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Methane Content (% by volume) 50% default</a:t>
          </a:r>
          <a:endParaRPr lang="en-US" sz="1100" kern="100">
            <a:solidFill>
              <a:schemeClr val="dk1"/>
            </a:solidFill>
            <a:effectLst/>
            <a:latin typeface="Calibri" panose="020F0502020204030204" pitchFamily="34" charset="0"/>
            <a:ea typeface="+mn-ea"/>
            <a:cs typeface="Times New Roman" panose="02020603050405020304" pitchFamily="18" charset="0"/>
          </a:endParaRPr>
        </a:p>
        <a:p>
          <a:pPr marL="342900" marR="0" lvl="0" indent="-342900" defTabSz="914400" eaLnBrk="1" fontAlgn="auto" latinLnBrk="0" hangingPunct="1">
            <a:lnSpc>
              <a:spcPct val="106000"/>
            </a:lnSpc>
            <a:spcBef>
              <a:spcPts val="0"/>
            </a:spcBef>
            <a:spcAft>
              <a:spcPts val="0"/>
            </a:spcAft>
            <a:buClrTx/>
            <a:buSzTx/>
            <a:buFont typeface="Symbol" panose="05050102010706020507" pitchFamily="18" charset="2"/>
            <a:buChar char=""/>
            <a:tabLst/>
            <a:defRPr/>
          </a:pP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6000"/>
            </a:lnSpc>
            <a:spcBef>
              <a:spcPts val="0"/>
            </a:spcBef>
            <a:spcAft>
              <a:spcPts val="800"/>
            </a:spcAft>
          </a:pPr>
          <a:r>
            <a:rPr lang="en-US" sz="1100" b="1" u="sng" kern="100">
              <a:effectLst/>
              <a:latin typeface="Calibri" panose="020F0502020204030204" pitchFamily="34" charset="0"/>
              <a:ea typeface="Calibri" panose="020F0502020204030204" pitchFamily="34" charset="0"/>
              <a:cs typeface="Times New Roman" panose="02020603050405020304" pitchFamily="18" charset="0"/>
            </a:rPr>
            <a:t>Values needed to calculate flared landfill emissions include:</a:t>
          </a:r>
        </a:p>
        <a:p>
          <a:pPr marL="800100" marR="0" lvl="1" indent="-342900">
            <a:lnSpc>
              <a:spcPct val="106000"/>
            </a:lnSpc>
            <a:spcBef>
              <a:spcPts val="0"/>
            </a:spcBef>
            <a:spcAft>
              <a:spcPts val="0"/>
            </a:spcAft>
            <a:buFont typeface="Symbol" panose="05050102010706020507" pitchFamily="18" charset="2"/>
            <a:buChar char=""/>
          </a:pPr>
          <a:r>
            <a:rPr lang="en-US" sz="1100" kern="100">
              <a:effectLst/>
              <a:latin typeface="Calibri" panose="020F0502020204030204" pitchFamily="34" charset="0"/>
              <a:ea typeface="Calibri" panose="020F0502020204030204" pitchFamily="34" charset="0"/>
              <a:cs typeface="Times New Roman" panose="02020603050405020304" pitchFamily="18" charset="0"/>
            </a:rPr>
            <a:t>Gas Flow Rate to Flare (scfm)</a:t>
          </a:r>
        </a:p>
        <a:p>
          <a:pPr marL="800100" marR="0" lvl="1" indent="-342900">
            <a:lnSpc>
              <a:spcPct val="106000"/>
            </a:lnSpc>
            <a:spcBef>
              <a:spcPts val="0"/>
            </a:spcBef>
            <a:spcAft>
              <a:spcPts val="0"/>
            </a:spcAft>
            <a:buFont typeface="Symbol" panose="05050102010706020507" pitchFamily="18" charset="2"/>
            <a:buChar char=""/>
          </a:pPr>
          <a:r>
            <a:rPr lang="en-US" sz="1100" kern="100">
              <a:effectLst/>
              <a:latin typeface="Calibri" panose="020F0502020204030204" pitchFamily="34" charset="0"/>
              <a:ea typeface="Calibri" panose="020F0502020204030204" pitchFamily="34" charset="0"/>
              <a:cs typeface="Times New Roman" panose="02020603050405020304" pitchFamily="18" charset="0"/>
            </a:rPr>
            <a:t>Flare Annual Hours of Operation</a:t>
          </a:r>
        </a:p>
        <a:p>
          <a:pPr marL="800100" marR="0" lvl="1" indent="-342900">
            <a:lnSpc>
              <a:spcPct val="106000"/>
            </a:lnSpc>
            <a:spcBef>
              <a:spcPts val="0"/>
            </a:spcBef>
            <a:spcAft>
              <a:spcPts val="0"/>
            </a:spcAft>
            <a:buFont typeface="Symbol" panose="05050102010706020507" pitchFamily="18" charset="2"/>
            <a:buChar char=""/>
          </a:pPr>
          <a:r>
            <a:rPr lang="en-US" sz="1100" kern="100">
              <a:effectLst/>
              <a:latin typeface="Calibri" panose="020F0502020204030204" pitchFamily="34" charset="0"/>
              <a:ea typeface="Calibri" panose="020F0502020204030204" pitchFamily="34" charset="0"/>
              <a:cs typeface="Times New Roman" panose="02020603050405020304" pitchFamily="18" charset="0"/>
            </a:rPr>
            <a:t>Lower Heating Value of Gas to Flare (btu/f3)</a:t>
          </a:r>
        </a:p>
        <a:p>
          <a:pPr marL="800100" marR="0" lvl="1" indent="-342900">
            <a:lnSpc>
              <a:spcPct val="106000"/>
            </a:lnSpc>
            <a:spcBef>
              <a:spcPts val="0"/>
            </a:spcBef>
            <a:spcAft>
              <a:spcPts val="0"/>
            </a:spcAft>
            <a:buFont typeface="Symbol" panose="05050102010706020507" pitchFamily="18" charset="2"/>
            <a:buChar char=""/>
          </a:pPr>
          <a:r>
            <a:rPr lang="en-US" sz="1100" kern="100">
              <a:effectLst/>
              <a:latin typeface="Calibri" panose="020F0502020204030204" pitchFamily="34" charset="0"/>
              <a:ea typeface="Calibri" panose="020F0502020204030204" pitchFamily="34" charset="0"/>
              <a:cs typeface="Times New Roman" panose="02020603050405020304" pitchFamily="18" charset="0"/>
            </a:rPr>
            <a:t>Non-Methane Organic Carbon Concentration at Flare (ppmv as Hexane) </a:t>
          </a:r>
          <a:r>
            <a:rPr lang="en-US" sz="1100">
              <a:solidFill>
                <a:schemeClr val="dk1"/>
              </a:solidFill>
              <a:effectLst/>
              <a:latin typeface="+mn-lt"/>
              <a:ea typeface="+mn-ea"/>
              <a:cs typeface="+mn-cs"/>
            </a:rPr>
            <a:t>2,400 ppmv default if co-disposal. 600 ppmv default if not co-disposal before 1992, 550 ppmv default if not co-disposal on or after 1992.</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6000"/>
            </a:lnSpc>
            <a:spcBef>
              <a:spcPts val="0"/>
            </a:spcBef>
            <a:spcAft>
              <a:spcPts val="0"/>
            </a:spcAft>
            <a:buFont typeface="Symbol" panose="05050102010706020507" pitchFamily="18" charset="2"/>
            <a:buChar char=""/>
          </a:pPr>
          <a:r>
            <a:rPr lang="en-US" sz="1100" kern="100">
              <a:effectLst/>
              <a:latin typeface="Calibri" panose="020F0502020204030204" pitchFamily="34" charset="0"/>
              <a:ea typeface="Calibri" panose="020F0502020204030204" pitchFamily="34" charset="0"/>
              <a:cs typeface="Times New Roman" panose="02020603050405020304" pitchFamily="18" charset="0"/>
            </a:rPr>
            <a:t>Concentration of Total Reduced Sulfur Compounds (ppmv) 46.9</a:t>
          </a:r>
          <a:r>
            <a:rPr lang="en-US" sz="1100" kern="100" baseline="0">
              <a:effectLst/>
              <a:latin typeface="Calibri" panose="020F0502020204030204" pitchFamily="34" charset="0"/>
              <a:ea typeface="Calibri" panose="020F0502020204030204" pitchFamily="34" charset="0"/>
              <a:cs typeface="Times New Roman" panose="02020603050405020304" pitchFamily="18" charset="0"/>
            </a:rPr>
            <a:t> default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6000"/>
            </a:lnSpc>
            <a:spcBef>
              <a:spcPts val="0"/>
            </a:spcBef>
            <a:spcAft>
              <a:spcPts val="0"/>
            </a:spcAft>
            <a:buFont typeface="Symbol" panose="05050102010706020507" pitchFamily="18" charset="2"/>
            <a:buChar char=""/>
          </a:pPr>
          <a:r>
            <a:rPr lang="en-US" sz="1100" kern="100">
              <a:effectLst/>
              <a:latin typeface="Calibri" panose="020F0502020204030204" pitchFamily="34" charset="0"/>
              <a:ea typeface="Calibri" panose="020F0502020204030204" pitchFamily="34" charset="0"/>
              <a:cs typeface="Times New Roman" panose="02020603050405020304" pitchFamily="18" charset="0"/>
            </a:rPr>
            <a:t>Flare Destruction Efficiency (%) 98% default</a:t>
          </a:r>
        </a:p>
        <a:p>
          <a:pPr marL="800100" marR="0" lvl="1" indent="-342900">
            <a:lnSpc>
              <a:spcPct val="106000"/>
            </a:lnSpc>
            <a:spcBef>
              <a:spcPts val="0"/>
            </a:spcBef>
            <a:spcAft>
              <a:spcPts val="0"/>
            </a:spcAft>
            <a:buFont typeface="Symbol" panose="05050102010706020507" pitchFamily="18" charset="2"/>
            <a:buChar char=""/>
          </a:pPr>
          <a:r>
            <a:rPr lang="en-US" sz="1100" kern="100">
              <a:effectLst/>
              <a:latin typeface="Calibri" panose="020F0502020204030204" pitchFamily="34" charset="0"/>
              <a:ea typeface="Calibri" panose="020F0502020204030204" pitchFamily="34" charset="0"/>
              <a:cs typeface="Times New Roman" panose="02020603050405020304" pitchFamily="18" charset="0"/>
            </a:rPr>
            <a:t>Flare Capture Efficiency (%) 75% default</a:t>
          </a:r>
        </a:p>
        <a:p>
          <a:pPr marL="800100" marR="0" lvl="1" indent="-342900" defTabSz="914400" eaLnBrk="1" fontAlgn="auto" latinLnBrk="0" hangingPunct="1">
            <a:lnSpc>
              <a:spcPct val="106000"/>
            </a:lnSpc>
            <a:spcBef>
              <a:spcPts val="0"/>
            </a:spcBef>
            <a:spcAft>
              <a:spcPts val="800"/>
            </a:spcAft>
            <a:buClrTx/>
            <a:buSzTx/>
            <a:buFont typeface="Symbol" panose="05050102010706020507" pitchFamily="18" charset="2"/>
            <a:buChar char=""/>
            <a:tabLst/>
            <a:defRPr/>
          </a:pPr>
          <a:r>
            <a:rPr lang="en-US" sz="1100">
              <a:solidFill>
                <a:schemeClr val="dk1"/>
              </a:solidFill>
              <a:effectLst/>
              <a:latin typeface="+mn-lt"/>
              <a:ea typeface="+mn-ea"/>
              <a:cs typeface="+mn-cs"/>
            </a:rPr>
            <a:t>Hydrogen Chloride concentration</a:t>
          </a:r>
        </a:p>
        <a:p>
          <a:pPr marL="0" marR="0" lvl="0" indent="0" defTabSz="914400" eaLnBrk="1" fontAlgn="auto" latinLnBrk="0" hangingPunct="1">
            <a:lnSpc>
              <a:spcPct val="106000"/>
            </a:lnSpc>
            <a:spcBef>
              <a:spcPts val="0"/>
            </a:spcBef>
            <a:spcAft>
              <a:spcPts val="800"/>
            </a:spcAft>
            <a:buClrTx/>
            <a:buSzTx/>
            <a:buFontTx/>
            <a:buNone/>
            <a:tabLst/>
            <a:defRPr/>
          </a:pPr>
          <a:r>
            <a:rPr lang="en-US" sz="1200" b="1" u="sng" kern="10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_____________________________________________________________________________________________________________________________________</a:t>
          </a:r>
        </a:p>
        <a:p>
          <a:pPr marL="0" marR="0" lvl="0" indent="0" defTabSz="914400" eaLnBrk="1" fontAlgn="auto" latinLnBrk="0" hangingPunct="1">
            <a:lnSpc>
              <a:spcPct val="106000"/>
            </a:lnSpc>
            <a:spcBef>
              <a:spcPts val="0"/>
            </a:spcBef>
            <a:spcAft>
              <a:spcPts val="800"/>
            </a:spcAft>
            <a:buClrTx/>
            <a:buSzTx/>
            <a:buFontTx/>
            <a:buNone/>
            <a:tabLst/>
            <a:defRPr/>
          </a:pPr>
          <a:endParaRPr lang="en-US" sz="1200" b="1" u="sng" kern="100">
            <a:solidFill>
              <a:schemeClr val="dk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6000"/>
            </a:lnSpc>
            <a:spcBef>
              <a:spcPts val="0"/>
            </a:spcBef>
            <a:spcAft>
              <a:spcPts val="800"/>
            </a:spcAft>
            <a:buClrTx/>
            <a:buSzTx/>
            <a:buFontTx/>
            <a:buNone/>
            <a:tabLst/>
            <a:defRPr/>
          </a:pPr>
          <a:r>
            <a:rPr lang="en-US" sz="1200" b="1" u="sng" kern="10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STEP BY STEP GUIDANCE FOR COMPLETING THE</a:t>
          </a:r>
          <a:r>
            <a:rPr lang="en-US" sz="1200" b="1" u="sng"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 LANDFILL EMISSIONS CALCULATION TOOL </a:t>
          </a:r>
        </a:p>
        <a:p>
          <a:pPr marL="457200" marR="0" lvl="1" indent="0" defTabSz="914400" eaLnBrk="1" fontAlgn="auto" latinLnBrk="0" hangingPunct="1">
            <a:lnSpc>
              <a:spcPct val="106000"/>
            </a:lnSpc>
            <a:spcBef>
              <a:spcPts val="0"/>
            </a:spcBef>
            <a:spcAft>
              <a:spcPts val="800"/>
            </a:spcAft>
            <a:buClrTx/>
            <a:buSzTx/>
            <a:buFontTx/>
            <a:buNone/>
            <a:tabLst/>
            <a:defRPr/>
          </a:pPr>
          <a:r>
            <a:rPr lang="en-US" sz="1200" b="1"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1</a:t>
          </a:r>
          <a:r>
            <a:rPr lang="en-US" sz="1200" b="0"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 Download and fill out LandGEM. See web address listed above (use the most recent edition).  For flare emissions, add hydrogen chloride to the pollutant tab in LandGEM</a:t>
          </a:r>
          <a:r>
            <a:rPr lang="en-US" sz="1200" b="1" i="0" u="none" kern="100"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a:r>
          <a:r>
            <a:rPr lang="en-US" sz="1100" b="0" i="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(Reference </a:t>
          </a:r>
          <a:r>
            <a:rPr lang="en-US" sz="1100" b="1" i="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Landfill Data Entry - Spreadsheet and LandGEM </a:t>
          </a:r>
          <a:r>
            <a:rPr lang="en-US" sz="1100" b="0" i="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PDF above for detailed instructions when compleating LandGEM. EPA LandGEM user manual can be downloaded from website above.) </a:t>
          </a:r>
        </a:p>
        <a:p>
          <a:pPr marL="457200" marR="0" lvl="1" indent="0" defTabSz="914400" eaLnBrk="1" fontAlgn="auto" latinLnBrk="0" hangingPunct="1">
            <a:lnSpc>
              <a:spcPct val="106000"/>
            </a:lnSpc>
            <a:spcBef>
              <a:spcPts val="0"/>
            </a:spcBef>
            <a:spcAft>
              <a:spcPts val="800"/>
            </a:spcAft>
            <a:buClrTx/>
            <a:buSzTx/>
            <a:buFontTx/>
            <a:buNone/>
            <a:tabLst/>
            <a:defRPr/>
          </a:pPr>
          <a:r>
            <a:rPr lang="en-US" sz="1200" b="1"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2.) </a:t>
          </a:r>
          <a:r>
            <a:rPr lang="en-US" sz="1200" b="0"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Copy and paste data from LandGEM's SNAPSHOT tab to this workbook's </a:t>
          </a:r>
          <a:r>
            <a:rPr lang="en-US" sz="1200" b="1"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LandGEMOutputs</a:t>
          </a:r>
          <a:r>
            <a:rPr lang="en-US" sz="1200" b="0"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 tab. </a:t>
          </a:r>
        </a:p>
        <a:p>
          <a:pPr marL="457200" marR="0" lvl="1" indent="0" defTabSz="914400" eaLnBrk="1" fontAlgn="auto" latinLnBrk="0" hangingPunct="1">
            <a:lnSpc>
              <a:spcPct val="106000"/>
            </a:lnSpc>
            <a:spcBef>
              <a:spcPts val="0"/>
            </a:spcBef>
            <a:spcAft>
              <a:spcPts val="800"/>
            </a:spcAft>
            <a:buClrTx/>
            <a:buSzTx/>
            <a:buFontTx/>
            <a:buNone/>
            <a:tabLst/>
            <a:defRPr/>
          </a:pPr>
          <a:r>
            <a:rPr lang="en-US" sz="1200" b="1"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3</a:t>
          </a:r>
          <a:r>
            <a:rPr lang="en-US" sz="1200" b="0"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 Fill out this workbook's UserInputs tab. </a:t>
          </a:r>
          <a:r>
            <a:rPr lang="en-US" sz="1100" b="0" i="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(Reference </a:t>
          </a:r>
          <a:r>
            <a:rPr lang="en-US" sz="1100" b="1" i="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Landfill Data Entry - Spreadhseet and LandGEM </a:t>
          </a:r>
          <a:r>
            <a:rPr lang="en-US" sz="1100" b="0" i="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PDF above for detailed instructons)</a:t>
          </a:r>
        </a:p>
        <a:p>
          <a:pPr marL="457200" marR="0" lvl="1" indent="0" defTabSz="914400" eaLnBrk="1" fontAlgn="auto" latinLnBrk="0" hangingPunct="1">
            <a:lnSpc>
              <a:spcPct val="106000"/>
            </a:lnSpc>
            <a:spcBef>
              <a:spcPts val="0"/>
            </a:spcBef>
            <a:spcAft>
              <a:spcPts val="800"/>
            </a:spcAft>
            <a:buClrTx/>
            <a:buSzTx/>
            <a:buFontTx/>
            <a:buNone/>
            <a:tabLst/>
            <a:defRPr/>
          </a:pPr>
          <a:r>
            <a:rPr lang="en-US" sz="1200" b="1"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4.) </a:t>
          </a:r>
          <a:r>
            <a:rPr lang="en-US" sz="1200" b="0"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The </a:t>
          </a:r>
          <a:r>
            <a:rPr lang="en-US" sz="1200" b="1"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EmissionsSummary_NoFlare </a:t>
          </a:r>
          <a:r>
            <a:rPr lang="en-US" sz="1200" b="0"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and </a:t>
          </a:r>
          <a:r>
            <a:rPr lang="en-US" sz="1200" b="1"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EmissionsSummary_withOneFlare </a:t>
          </a:r>
          <a:r>
            <a:rPr lang="en-US" sz="1200" b="0"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tabs will automatically be updated based on  the data entered in the </a:t>
          </a:r>
          <a:r>
            <a:rPr lang="en-US" sz="1200" b="1"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UserInputs</a:t>
          </a:r>
          <a:r>
            <a:rPr lang="en-US" sz="1200" b="0"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 tab. The resulting calculations will need to be entered in MoEIS dependng on what scenerio fits the faclility.</a:t>
          </a:r>
          <a:r>
            <a:rPr lang="en-US" sz="1200" b="1" u="none" kern="100" baseline="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 </a:t>
          </a:r>
          <a:r>
            <a:rPr lang="en-US" sz="1100" b="0" i="1"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(Reference </a:t>
          </a:r>
          <a:r>
            <a:rPr lang="en-US" sz="1100" b="1" i="1" baseline="0">
              <a:solidFill>
                <a:schemeClr val="dk1"/>
              </a:solidFill>
              <a:effectLst/>
              <a:latin typeface="+mn-lt"/>
              <a:ea typeface="+mn-ea"/>
              <a:cs typeface="+mn-cs"/>
            </a:rPr>
            <a:t>Landfill Data Entry - MoEIS </a:t>
          </a:r>
          <a:r>
            <a:rPr lang="en-US" sz="1100" b="0" i="1" baseline="0">
              <a:solidFill>
                <a:schemeClr val="dk1"/>
              </a:solidFill>
              <a:effectLst/>
              <a:latin typeface="+mn-lt"/>
              <a:ea typeface="+mn-ea"/>
              <a:cs typeface="+mn-cs"/>
            </a:rPr>
            <a:t>PDF </a:t>
          </a:r>
          <a:r>
            <a:rPr lang="en-US" sz="1100" b="0" i="1"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for more detailed instructions on how to enter the data into MoEIS)</a:t>
          </a:r>
        </a:p>
        <a:p>
          <a:pPr marL="0" marR="0" lvl="0" indent="0" defTabSz="914400" eaLnBrk="1" fontAlgn="auto" latinLnBrk="0" hangingPunct="1">
            <a:lnSpc>
              <a:spcPct val="106000"/>
            </a:lnSpc>
            <a:spcBef>
              <a:spcPts val="0"/>
            </a:spcBef>
            <a:spcAft>
              <a:spcPts val="800"/>
            </a:spcAft>
            <a:buClrTx/>
            <a:buSzTx/>
            <a:buFontTx/>
            <a:buNone/>
            <a:tabLst/>
            <a:defRPr/>
          </a:pPr>
          <a:r>
            <a:rPr lang="en-US" sz="1200" b="1" i="1" baseline="0">
              <a:solidFill>
                <a:srgbClr val="FF0000"/>
              </a:solidFill>
              <a:effectLst/>
              <a:latin typeface="Calibri" panose="020F0502020204030204" pitchFamily="34" charset="0"/>
              <a:ea typeface="Calibri" panose="020F0502020204030204" pitchFamily="34" charset="0"/>
              <a:cs typeface="Calibri" panose="020F0502020204030204" pitchFamily="34" charset="0"/>
            </a:rPr>
            <a:t> If there are more than one flare, tabs EmissSum_MultiFlares and EmissSum_MultiFlaresINPUT tabs have been created and you need to follow the steps below. </a:t>
          </a:r>
        </a:p>
        <a:p>
          <a:pPr marL="457200" marR="0" lvl="1" indent="0" defTabSz="914400" eaLnBrk="1" fontAlgn="auto" latinLnBrk="0" hangingPunct="1">
            <a:lnSpc>
              <a:spcPct val="106000"/>
            </a:lnSpc>
            <a:spcBef>
              <a:spcPts val="0"/>
            </a:spcBef>
            <a:spcAft>
              <a:spcPts val="800"/>
            </a:spcAft>
            <a:buClrTx/>
            <a:buSzTx/>
            <a:buFontTx/>
            <a:buNone/>
            <a:tabLst/>
            <a:defRPr/>
          </a:pPr>
          <a:r>
            <a:rPr lang="en-US" sz="1200" b="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1.) </a:t>
          </a:r>
          <a:r>
            <a:rPr lang="en-US" sz="1200" b="0"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Complete steps 1 through 3 above. </a:t>
          </a:r>
        </a:p>
        <a:p>
          <a:pPr marL="457200" marR="0" lvl="1" indent="0" defTabSz="914400" eaLnBrk="1" fontAlgn="auto" latinLnBrk="0" hangingPunct="1">
            <a:lnSpc>
              <a:spcPct val="106000"/>
            </a:lnSpc>
            <a:spcBef>
              <a:spcPts val="0"/>
            </a:spcBef>
            <a:spcAft>
              <a:spcPts val="800"/>
            </a:spcAft>
            <a:buClrTx/>
            <a:buSzTx/>
            <a:buFontTx/>
            <a:buNone/>
            <a:tabLst/>
            <a:defRPr/>
          </a:pPr>
          <a:r>
            <a:rPr lang="en-US" sz="1200" b="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2.) </a:t>
          </a:r>
          <a:r>
            <a:rPr lang="en-US" sz="1200" b="0"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On the </a:t>
          </a:r>
          <a:r>
            <a:rPr lang="en-US" sz="1200" b="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EmissSum_MultiFlaresINPUT </a:t>
          </a:r>
          <a:r>
            <a:rPr lang="en-US" sz="1200" b="0"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tab, fill in the highlighted fields for each flare</a:t>
          </a:r>
          <a:r>
            <a:rPr lang="en-US" sz="1400" b="0"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a:t>
          </a:r>
          <a:r>
            <a:rPr lang="en-US" sz="1200">
              <a:solidFill>
                <a:schemeClr val="dk1"/>
              </a:solidFill>
              <a:effectLst/>
              <a:latin typeface="+mn-lt"/>
              <a:ea typeface="+mn-ea"/>
              <a:cs typeface="+mn-cs"/>
            </a:rPr>
            <a:t>Gas Flow Rate to Flare, Flare Annual Hours of Operation, Non-Methane Organic Compound Concentration (NMOC), Concentration of Total Reduced Sulfur Compounds, Flare Destruction Efficiency (%) and Flare Capture Efficiency (%)</a:t>
          </a:r>
          <a:r>
            <a:rPr lang="en-US" sz="1200" b="1" baseline="0">
              <a:solidFill>
                <a:schemeClr val="dk1"/>
              </a:solidFill>
              <a:effectLst/>
              <a:latin typeface="+mn-lt"/>
              <a:ea typeface="+mn-ea"/>
              <a:cs typeface="+mn-cs"/>
            </a:rPr>
            <a:t> </a:t>
          </a:r>
          <a:r>
            <a:rPr lang="en-US" sz="1100" b="0" i="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(leave third flair blank if calculating for 2 flares. If more than three flares, please contact MoDNR for assistance.) </a:t>
          </a:r>
        </a:p>
        <a:p>
          <a:pPr marL="457200" marR="0" lvl="1" indent="0" defTabSz="914400" eaLnBrk="1" fontAlgn="auto" latinLnBrk="0" hangingPunct="1">
            <a:lnSpc>
              <a:spcPct val="106000"/>
            </a:lnSpc>
            <a:spcBef>
              <a:spcPts val="0"/>
            </a:spcBef>
            <a:spcAft>
              <a:spcPts val="800"/>
            </a:spcAft>
            <a:buClrTx/>
            <a:buSzTx/>
            <a:buFontTx/>
            <a:buNone/>
            <a:tabLst/>
            <a:defRPr/>
          </a:pPr>
          <a:r>
            <a:rPr lang="en-US" sz="1200" b="1" i="0"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3</a:t>
          </a:r>
          <a:r>
            <a:rPr lang="en-US" sz="1200" b="0" i="0"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a:t>
          </a:r>
          <a:r>
            <a:rPr lang="en-US" sz="1200" b="1" i="0"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EmissSum_MultiFlares </a:t>
          </a:r>
          <a:r>
            <a:rPr lang="en-US" sz="1200" b="0" i="0"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tab will update the throughput values, emission factors, and emissions data for each FLARE. Fugitive emissions data will already be calculated based on data entered from steps 1 through 3. Data from this tab will be what is entered into MoEIS for the fugitive emissions and each flare</a:t>
          </a:r>
          <a:r>
            <a:rPr lang="en-US" sz="1100" b="0" i="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(Reference </a:t>
          </a:r>
          <a:r>
            <a:rPr lang="en-US" sz="1100" b="1" i="1" baseline="0">
              <a:solidFill>
                <a:schemeClr val="dk1"/>
              </a:solidFill>
              <a:effectLst/>
              <a:latin typeface="+mn-lt"/>
              <a:ea typeface="+mn-ea"/>
              <a:cs typeface="+mn-cs"/>
            </a:rPr>
            <a:t>Landfill Data Entry - Spreadhseet and LandGEM</a:t>
          </a:r>
          <a:r>
            <a:rPr lang="en-US" sz="1100" b="0" i="1" baseline="0">
              <a:solidFill>
                <a:schemeClr val="dk1"/>
              </a:solidFill>
              <a:effectLst/>
              <a:latin typeface="+mn-lt"/>
              <a:ea typeface="+mn-ea"/>
              <a:cs typeface="+mn-cs"/>
            </a:rPr>
            <a:t> and </a:t>
          </a:r>
          <a:r>
            <a:rPr lang="en-US" sz="1100" b="1" i="1" baseline="0">
              <a:solidFill>
                <a:schemeClr val="dk1"/>
              </a:solidFill>
              <a:effectLst/>
              <a:latin typeface="+mn-lt"/>
              <a:ea typeface="+mn-ea"/>
              <a:cs typeface="+mn-cs"/>
            </a:rPr>
            <a:t>Landfill Data Entry - MoEIS </a:t>
          </a:r>
          <a:r>
            <a:rPr lang="en-US" sz="1100" b="0" i="1" baseline="0">
              <a:solidFill>
                <a:schemeClr val="dk1"/>
              </a:solidFill>
              <a:effectLst/>
              <a:latin typeface="+mn-lt"/>
              <a:ea typeface="+mn-ea"/>
              <a:cs typeface="+mn-cs"/>
            </a:rPr>
            <a:t>PDFs </a:t>
          </a:r>
          <a:r>
            <a:rPr lang="en-US" sz="1100" b="0" i="1" u="none" kern="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for more detailed instructions) </a:t>
          </a:r>
        </a:p>
        <a:p>
          <a:pPr marL="0" marR="0" lvl="0" indent="0" defTabSz="914400" eaLnBrk="1" fontAlgn="auto" latinLnBrk="0" hangingPunct="1">
            <a:lnSpc>
              <a:spcPct val="106000"/>
            </a:lnSpc>
            <a:spcBef>
              <a:spcPts val="0"/>
            </a:spcBef>
            <a:spcAft>
              <a:spcPts val="800"/>
            </a:spcAft>
            <a:buClrTx/>
            <a:buSzTx/>
            <a:buFontTx/>
            <a:buNone/>
            <a:tabLst/>
            <a:defRPr/>
          </a:pPr>
          <a:endParaRPr lang="en-US" sz="1200" b="1" i="1" u="none" kern="100"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6000"/>
            </a:lnSpc>
            <a:spcBef>
              <a:spcPts val="0"/>
            </a:spcBef>
            <a:spcAft>
              <a:spcPts val="800"/>
            </a:spcAft>
            <a:buClrTx/>
            <a:buSzTx/>
            <a:buFontTx/>
            <a:buNone/>
            <a:tabLst/>
            <a:defRPr/>
          </a:pPr>
          <a:endParaRPr lang="en-US" sz="1200" b="0" u="none" kern="100">
            <a:solidFill>
              <a:schemeClr val="dk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6000"/>
            </a:lnSpc>
            <a:spcBef>
              <a:spcPts val="0"/>
            </a:spcBef>
            <a:spcAft>
              <a:spcPts val="800"/>
            </a:spcAft>
            <a:buClrTx/>
            <a:buSzTx/>
            <a:buFontTx/>
            <a:buNone/>
            <a:tabLst/>
            <a:defRPr/>
          </a:pPr>
          <a:endParaRPr lang="en-US" sz="1200" b="1" kern="100">
            <a:solidFill>
              <a:schemeClr val="dk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6000"/>
            </a:lnSpc>
            <a:spcBef>
              <a:spcPts val="0"/>
            </a:spcBef>
            <a:spcAft>
              <a:spcPts val="800"/>
            </a:spcAft>
            <a:buClrTx/>
            <a:buSzTx/>
            <a:buFontTx/>
            <a:buNone/>
            <a:tabLst/>
            <a:defRPr/>
          </a:pPr>
          <a:endParaRPr lang="en-US" sz="1100" kern="100">
            <a:solidFill>
              <a:schemeClr val="dk1"/>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6000"/>
            </a:lnSpc>
            <a:spcBef>
              <a:spcPts val="0"/>
            </a:spcBef>
            <a:spcAft>
              <a:spcPts val="800"/>
            </a:spcAft>
            <a:buClrTx/>
            <a:buSzTx/>
            <a:buFont typeface="Symbol" panose="05050102010706020507" pitchFamily="18" charset="2"/>
            <a:buChar char=""/>
            <a:tabLst/>
            <a:defRPr/>
          </a:pP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6000"/>
            </a:lnSpc>
            <a:spcBef>
              <a:spcPts val="0"/>
            </a:spcBef>
            <a:spcAft>
              <a:spcPts val="800"/>
            </a:spcAft>
          </a:pP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3048000</xdr:colOff>
          <xdr:row>14</xdr:row>
          <xdr:rowOff>22860</xdr:rowOff>
        </xdr:from>
        <xdr:to>
          <xdr:col>1</xdr:col>
          <xdr:colOff>4328160</xdr:colOff>
          <xdr:row>14</xdr:row>
          <xdr:rowOff>937260</xdr:rowOff>
        </xdr:to>
        <xdr:sp macro="" textlink="">
          <xdr:nvSpPr>
            <xdr:cNvPr id="5137" name="Object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7620</xdr:rowOff>
        </xdr:from>
        <xdr:to>
          <xdr:col>1</xdr:col>
          <xdr:colOff>1257300</xdr:colOff>
          <xdr:row>14</xdr:row>
          <xdr:rowOff>937260</xdr:rowOff>
        </xdr:to>
        <xdr:sp macro="" textlink="">
          <xdr:nvSpPr>
            <xdr:cNvPr id="5170" name="Object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1539240</xdr:colOff>
          <xdr:row>14</xdr:row>
          <xdr:rowOff>15240</xdr:rowOff>
        </xdr:from>
        <xdr:to>
          <xdr:col>1</xdr:col>
          <xdr:colOff>2758440</xdr:colOff>
          <xdr:row>14</xdr:row>
          <xdr:rowOff>929640</xdr:rowOff>
        </xdr:to>
        <xdr:sp macro="" textlink="">
          <xdr:nvSpPr>
            <xdr:cNvPr id="5171" name="Object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xdr:col>
      <xdr:colOff>209579</xdr:colOff>
      <xdr:row>17</xdr:row>
      <xdr:rowOff>77530</xdr:rowOff>
    </xdr:from>
    <xdr:ext cx="10471092" cy="10632558"/>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500509" y="3134390"/>
          <a:ext cx="10471092" cy="106325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tx1"/>
              </a:solidFill>
              <a:effectLst/>
              <a:latin typeface="+mn-lt"/>
              <a:ea typeface="+mn-ea"/>
              <a:cs typeface="+mn-cs"/>
            </a:rPr>
            <a:t>The Landfill Gas Emissions Model (LandGEM) is an interactive tool with a Microsoft Excel interface that can be used to estimate generation and emission rates for total landfill gas (LFG), methane, carbon dioxide, non-methane organic compounds (NMOCs), and other hazardous air pollutants (HAPs) from municipal solid waste (MSW) landfills. The guide for inputting data into LandGEM can be found on the Tool Guidance tab and provides step-by-step guidance for using that software as well as background information on the technical basis of LandGEM. LandGEM can use either default values or site-specific data to estimate landfill gas generation and emissions. First, the user selects one of two modes to utilize: NSPS Applicability or Emissions Inventory. For use with this State Landfill Emissions - Calculation Tool for reporting in MoEIS for an EIQ, you will want to select Emissions Inventory mode. </a:t>
          </a: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Emissions Inventory </a:t>
          </a:r>
          <a:r>
            <a:rPr lang="en-US" sz="1100">
              <a:solidFill>
                <a:schemeClr val="tx1"/>
              </a:solidFill>
              <a:effectLst/>
              <a:latin typeface="+mn-lt"/>
              <a:ea typeface="+mn-ea"/>
              <a:cs typeface="+mn-cs"/>
            </a:rPr>
            <a:t>- The inventory defaults (are based on emission factors in the U.S. Environmental Protection Agency's (EPA's) Compilation of Air Pollutant Emission Factors (AP-42). This set of defaults yields average emissions and can be used to generate emission estimates for use in state emission inventories and air permits in the absence of site-specific test data. Also included are values specified in AP-42 for developing national and state emission inventories (40 CFR 51). </a:t>
          </a: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IMPORTANT:</a:t>
          </a:r>
          <a:r>
            <a:rPr lang="en-US" sz="1100">
              <a:solidFill>
                <a:schemeClr val="tx1"/>
              </a:solidFill>
              <a:effectLst/>
              <a:latin typeface="+mn-lt"/>
              <a:ea typeface="+mn-ea"/>
              <a:cs typeface="+mn-cs"/>
            </a:rPr>
            <a:t> </a:t>
          </a:r>
          <a:r>
            <a:rPr lang="en-US" sz="1100" b="1">
              <a:solidFill>
                <a:srgbClr val="FF0000"/>
              </a:solidFill>
              <a:effectLst/>
              <a:latin typeface="+mn-lt"/>
              <a:ea typeface="+mn-ea"/>
              <a:cs typeface="+mn-cs"/>
            </a:rPr>
            <a:t>In LandGEM, if reporting emissions from a flare, hydrogen chloride must be added to the pollutants page in order to calculate the emission rate as this HAP is emitted when chlorinated compounds in LFG are combusted in control equipment. Must enter concentration (Default 42 ppmv) and Molecular Weight. </a:t>
          </a:r>
          <a:endParaRPr lang="en-US" sz="1100">
            <a:solidFill>
              <a:srgbClr val="FF0000"/>
            </a:solidFill>
            <a:effectLst/>
            <a:latin typeface="+mn-lt"/>
            <a:ea typeface="+mn-ea"/>
            <a:cs typeface="+mn-cs"/>
          </a:endParaRP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3.7</a:t>
          </a:r>
          <a:r>
            <a:rPr lang="en-US" sz="1100">
              <a:solidFill>
                <a:schemeClr val="tx1"/>
              </a:solidFill>
              <a:effectLst/>
              <a:latin typeface="+mn-lt"/>
              <a:ea typeface="+mn-ea"/>
              <a:cs typeface="+mn-cs"/>
            </a:rPr>
            <a:t> </a:t>
          </a:r>
          <a:r>
            <a:rPr lang="en-US" sz="1100" b="1">
              <a:solidFill>
                <a:schemeClr val="tx1"/>
              </a:solidFill>
              <a:effectLst/>
              <a:latin typeface="+mn-lt"/>
              <a:ea typeface="+mn-ea"/>
              <a:cs typeface="+mn-cs"/>
            </a:rPr>
            <a:t>Methane Generation Rate Constant (k) - </a:t>
          </a:r>
          <a:r>
            <a:rPr lang="en-US" sz="1100">
              <a:solidFill>
                <a:schemeClr val="tx1"/>
              </a:solidFill>
              <a:effectLst/>
              <a:latin typeface="+mn-lt"/>
              <a:ea typeface="+mn-ea"/>
              <a:cs typeface="+mn-cs"/>
            </a:rPr>
            <a:t>Use value entered on the LandGEM User Input screen. </a:t>
          </a:r>
        </a:p>
        <a:p>
          <a:r>
            <a:rPr lang="en-US" sz="1100">
              <a:solidFill>
                <a:schemeClr val="tx1"/>
              </a:solidFill>
              <a:effectLst/>
              <a:latin typeface="+mn-lt"/>
              <a:ea typeface="+mn-ea"/>
              <a:cs typeface="+mn-cs"/>
            </a:rPr>
            <a:t>The Methane Generation Rate constant, k, determines the rate of waste decomposition and the related methane generation of the landfill. The k value, as it is used in the first-order decomposition rate equation, is in units of inverse years (i.e., 1/year, or year-</a:t>
          </a:r>
          <a:r>
            <a:rPr lang="en-US" sz="1100" baseline="30000">
              <a:solidFill>
                <a:schemeClr val="tx1"/>
              </a:solidFill>
              <a:effectLst/>
              <a:latin typeface="+mn-lt"/>
              <a:ea typeface="+mn-ea"/>
              <a:cs typeface="+mn-cs"/>
            </a:rPr>
            <a:t>1</a:t>
          </a:r>
          <a:r>
            <a:rPr lang="en-US" sz="1100">
              <a:solidFill>
                <a:schemeClr val="tx1"/>
              </a:solidFill>
              <a:effectLst/>
              <a:latin typeface="+mn-lt"/>
              <a:ea typeface="+mn-ea"/>
              <a:cs typeface="+mn-cs"/>
            </a:rPr>
            <a:t>). The higher the value of k, the faster the methane generation occurs and the more quickly it will dissipate (Jain et al., 2021; Tolaymat et al., 2010). The rate constant can be translated to a half-life, as shown in Equation 7. In this case, the half-life represents the amount of time required for the remaining degradable carbon to decrease by 50% (i.e., step 1 = 50% of the original carbon degraded, step 2 = 75%, step 3 = 87.5%, and so on).</a:t>
          </a:r>
        </a:p>
        <a:p>
          <a:r>
            <a:rPr lang="en-US" sz="1100">
              <a:solidFill>
                <a:schemeClr val="tx1"/>
              </a:solidFill>
              <a:effectLst/>
              <a:latin typeface="+mn-lt"/>
              <a:ea typeface="+mn-ea"/>
              <a:cs typeface="+mn-cs"/>
            </a:rPr>
            <a:t>t</a:t>
          </a:r>
          <a:r>
            <a:rPr lang="en-US" sz="1100" baseline="-25000">
              <a:solidFill>
                <a:schemeClr val="tx1"/>
              </a:solidFill>
              <a:effectLst/>
              <a:latin typeface="+mn-lt"/>
              <a:ea typeface="+mn-ea"/>
              <a:cs typeface="+mn-cs"/>
            </a:rPr>
            <a:t>1</a:t>
          </a:r>
          <a:r>
            <a:rPr lang="en-US" sz="1100">
              <a:solidFill>
                <a:schemeClr val="tx1"/>
              </a:solidFill>
              <a:effectLst/>
              <a:latin typeface="+mn-lt"/>
              <a:ea typeface="+mn-ea"/>
              <a:cs typeface="+mn-cs"/>
            </a:rPr>
            <a:t>;2 = ln(2) </a:t>
          </a:r>
          <a:r>
            <a:rPr lang="en-US" sz="1100" i="1">
              <a:solidFill>
                <a:schemeClr val="tx1"/>
              </a:solidFill>
              <a:effectLst/>
              <a:latin typeface="+mn-lt"/>
              <a:ea typeface="+mn-ea"/>
              <a:cs typeface="+mn-cs"/>
            </a:rPr>
            <a:t>/k	</a:t>
          </a:r>
          <a:r>
            <a:rPr lang="en-US" sz="1100">
              <a:solidFill>
                <a:schemeClr val="tx1"/>
              </a:solidFill>
              <a:effectLst/>
              <a:latin typeface="+mn-lt"/>
              <a:ea typeface="+mn-ea"/>
              <a:cs typeface="+mn-cs"/>
            </a:rPr>
            <a:t>(Eq. 7)</a:t>
          </a:r>
        </a:p>
        <a:p>
          <a:r>
            <a:rPr lang="en-US" sz="1100">
              <a:solidFill>
                <a:schemeClr val="tx1"/>
              </a:solidFill>
              <a:effectLst/>
              <a:latin typeface="+mn-lt"/>
              <a:ea typeface="+mn-ea"/>
              <a:cs typeface="+mn-cs"/>
            </a:rPr>
            <a:t>Where t112 = the biodegradable carbon half-life and</a:t>
          </a:r>
        </a:p>
        <a:p>
          <a:r>
            <a:rPr lang="en-US" sz="1100">
              <a:solidFill>
                <a:schemeClr val="tx1"/>
              </a:solidFill>
              <a:effectLst/>
              <a:latin typeface="+mn-lt"/>
              <a:ea typeface="+mn-ea"/>
              <a:cs typeface="+mn-cs"/>
            </a:rPr>
            <a:t>ln(2) is the natural logarithm of 2 (approximately 0.693).</a:t>
          </a:r>
        </a:p>
        <a:p>
          <a:r>
            <a:rPr lang="en-US" sz="1100">
              <a:solidFill>
                <a:schemeClr val="tx1"/>
              </a:solidFill>
              <a:effectLst/>
              <a:latin typeface="+mn-lt"/>
              <a:ea typeface="+mn-ea"/>
              <a:cs typeface="+mn-cs"/>
            </a:rPr>
            <a:t>The observed rate of decomposition has been linked to a number of factors such as waste composition, moisture content of the waste mass, availability of the nutrients for microorganisms that break down the waste, and waste mass temperature (De la Cruz et al., 2016; Karimi &amp; Bareither, 2021; Vu et al., 2017).</a:t>
          </a:r>
        </a:p>
        <a:p>
          <a:r>
            <a:rPr lang="en-US" sz="1100">
              <a:solidFill>
                <a:schemeClr val="tx1"/>
              </a:solidFill>
              <a:effectLst/>
              <a:latin typeface="+mn-lt"/>
              <a:ea typeface="+mn-ea"/>
              <a:cs typeface="+mn-cs"/>
            </a:rPr>
            <a:t>In LandGEM, k is tied to landfill moisture considering both local precipitation and operational practices like leachate recirculation or wastewater liquids addition and solidification. Areas that experience more precipitation are generally found to have higher rates of methane generation (Jain et al., 2021; Tolaymat et al., 201O; Wang et al., 2013).</a:t>
          </a:r>
        </a:p>
        <a:p>
          <a:r>
            <a:rPr lang="en-US" sz="1100">
              <a:solidFill>
                <a:schemeClr val="tx1"/>
              </a:solidFill>
              <a:effectLst/>
              <a:latin typeface="+mn-lt"/>
              <a:ea typeface="+mn-ea"/>
              <a:cs typeface="+mn-cs"/>
            </a:rPr>
            <a:t>In LandGEM, k is held constant throughout the simulation. This can be overcome by parsing waste tons or landfill cells into separate simulations, utilizing different k values for areas with and without leachate recirculation, for example.</a:t>
          </a:r>
        </a:p>
        <a:p>
          <a:r>
            <a:rPr lang="en-US" sz="1100">
              <a:solidFill>
                <a:schemeClr val="tx1"/>
              </a:solidFill>
              <a:effectLst/>
              <a:latin typeface="+mn-lt"/>
              <a:ea typeface="+mn-ea"/>
              <a:cs typeface="+mn-cs"/>
            </a:rPr>
            <a:t>For the Emissions Inventory approach, the default values are given in Table 5. Users are encouraged to utilize the B9-COLLECTION worksheet to evaluate if the suggested decay rate (based on a location's precipitation rate) is adequate. </a:t>
          </a:r>
        </a:p>
        <a:p>
          <a:r>
            <a:rPr lang="en-US" sz="1100">
              <a:solidFill>
                <a:schemeClr val="tx1"/>
              </a:solidFill>
              <a:effectLst/>
              <a:latin typeface="+mn-lt"/>
              <a:ea typeface="+mn-ea"/>
              <a:cs typeface="+mn-cs"/>
            </a:rPr>
            <a:t>See the LandGEM V3.1 instructions PDF on the Tool Guidance tab for more information on Methane Generation Rate or AP-42 VOL 1 CH 2.4. </a:t>
          </a: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3.9 Degradable Organic Carbon (DOC)</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Degradable organic carbon (DOC) is the measure of organic carbon that is accessible to aerobic and anaerobic biodegradation and is expressed as mass of carbon per mass of as-received waste (i.e., Mg C/Mg waste). DOC is based on the composition of the waste and is similar to a measurement of organic matter within a soil or other material. Appendix B (See PDF for LandGEM V3.1 instructions on Tool Guidance tab) presents default DOC values for MSW, C&amp;D waste, bulk waste (the entire landfill mass), and individual waste components as defined in the GHGRP (40 CFR 98 Subpart HH).</a:t>
          </a:r>
        </a:p>
        <a:p>
          <a:r>
            <a:rPr lang="en-US" sz="1100">
              <a:solidFill>
                <a:schemeClr val="tx1"/>
              </a:solidFill>
              <a:effectLst/>
              <a:latin typeface="+mn-lt"/>
              <a:ea typeface="+mn-ea"/>
              <a:cs typeface="+mn-cs"/>
            </a:rPr>
            <a:t>Lo was previously used in LandGEM and represented the ultimate amount of methane to be released per ton of waste (U.S. EPA, 2005). DOC on the other hand directly represents the biodegradable carbon that is disposed. Like Lo, DOC is an inherent characteristic of the waste or material and can be measured by laboratory equipment such as a total organic carbon analyzer. Figure 31 presents an example of how DOC is calculated or measured for a common representative material of the biodegradable fraction of MSW, cellulose. </a:t>
          </a:r>
        </a:p>
        <a:p>
          <a:r>
            <a:rPr lang="en-US" sz="1100">
              <a:solidFill>
                <a:schemeClr val="tx1"/>
              </a:solidFill>
              <a:effectLst/>
              <a:latin typeface="+mn-lt"/>
              <a:ea typeface="+mn-ea"/>
              <a:cs typeface="+mn-cs"/>
            </a:rPr>
            <a:t>See the LandGEM V3.1 instructions PDF on the Tool Guidance tab for more information on Degradable Organic Carbon (DOC) or AP-42 VOL 1 CH 2.4. </a:t>
          </a: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3.13</a:t>
          </a:r>
          <a:r>
            <a:rPr lang="en-US" sz="1100">
              <a:solidFill>
                <a:schemeClr val="tx1"/>
              </a:solidFill>
              <a:effectLst/>
              <a:latin typeface="+mn-lt"/>
              <a:ea typeface="+mn-ea"/>
              <a:cs typeface="+mn-cs"/>
            </a:rPr>
            <a:t> </a:t>
          </a:r>
          <a:r>
            <a:rPr lang="en-US" sz="1100" b="1">
              <a:solidFill>
                <a:schemeClr val="tx1"/>
              </a:solidFill>
              <a:effectLst/>
              <a:latin typeface="+mn-lt"/>
              <a:ea typeface="+mn-ea"/>
              <a:cs typeface="+mn-cs"/>
            </a:rPr>
            <a:t>Nonmethane Organic Compound Concentration (NMOC)</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Most of the NMOC emissions result from the volatilization of organic compounds contained in the landfilled waste. Small amounts may be created by biological processes and chemical reactions within the landfill. The current version of LandGEM contains a regulatory default value for total NMOC of 4,000 ppmv, expressed as hexane. The regulatory default value for NMOC concentration was developed for regulatory compliance purposes (40 CFR Part 60, Subpart XXX) and to provide the most cost-effective default values on a national basis. For emissions inventory purposes, site-specific information should be considered when determining the total NMOC concentration. In the absence of site-specific information, a value of 2,400 ppmv as hexane is suggested for landfills known to have co-disposal of MSW and non-residential waste. If the landfill is known to contain only MSW or have very little organic commercial/industrial wastes, then for default values before 1992, 600 ppmv as hexane should be used, and for default values on and after 1992, 550 ppmv as hexane should be used. In addition, as with the landfill model defaults, the regulatory default value for NMOC content must be used to comply with the NSPS/Emission Guideline. According to NSPS (40 CFR Part 60, Subpart XXX) and Emission Guideline (40 CFR Part 60, Subpart Cf), the landfills with annual NMOC emissions greater than 34 megagrams must consider further emission measurement efforts or installation of a gas collection system.  EPA Method 25C is required for obtaining a site-specific concentration of NMOCs.</a:t>
          </a:r>
        </a:p>
        <a:p>
          <a:r>
            <a:rPr lang="en-US" sz="1100">
              <a:solidFill>
                <a:schemeClr val="tx1"/>
              </a:solidFill>
              <a:effectLst/>
              <a:latin typeface="+mn-lt"/>
              <a:ea typeface="+mn-ea"/>
              <a:cs typeface="+mn-cs"/>
            </a:rPr>
            <a:t>See the LandGEM V3.1 instructions PDF on the Tool Guidance tab for more information on Nonmethane Organic Compound Concentration (NMOC) or AP-42 VOL 1 CH 2.4. </a:t>
          </a: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3.11 Fraction of Methane in Generated Landfill Gas (F)</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For LandGEM, landfill gas is assumed to be 50% methane and 50% carbon dioxide, with additional, trace constituents of NMOCs and other air pollutants (U.S. EPA, 2024a). When using LandGEM for complying with NSPS provisions, the methane content must remain fixed at 50% by volume (40 CFR 60 Subpart WWW; 40 CFR 60 Subpart </a:t>
          </a:r>
          <a:r>
            <a:rPr lang="en-US" sz="1100" b="1">
              <a:solidFill>
                <a:schemeClr val="tx1"/>
              </a:solidFill>
              <a:effectLst/>
              <a:latin typeface="+mn-lt"/>
              <a:ea typeface="+mn-ea"/>
              <a:cs typeface="+mn-cs"/>
            </a:rPr>
            <a:t>XXX). </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See the LandGEM V3.1 instructions PDF on the Tool Guidance tab for more information on Fraction of Methane in Generated Landfill Gas (F).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Fill out all other value fields as indicated including the waste acceptance rate with years and waste amount. After completing this Usernputs tab, copy the LandGEM SNAPSHOT tab that has the emission rate data into the LandGEMOutputs tab of this workbook. </a:t>
          </a:r>
        </a:p>
        <a:p>
          <a:r>
            <a:rPr lang="en-US" sz="1100">
              <a:solidFill>
                <a:schemeClr val="tx1"/>
              </a:solidFill>
              <a:effectLst/>
              <a:latin typeface="+mn-lt"/>
              <a:ea typeface="+mn-ea"/>
              <a:cs typeface="+mn-cs"/>
            </a:rPr>
            <a:t> </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rvandj2\Desktop\landgem-v303%20(3).xlsm" TargetMode="External"/><Relationship Id="rId1" Type="http://schemas.openxmlformats.org/officeDocument/2006/relationships/externalLinkPath" Target="file:///C:\Users\nrvandj2\Desktop\landgem-v303%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USER INPUTS"/>
      <sheetName val="POLLUTANTS"/>
      <sheetName val="INPUT REVIEW"/>
      <sheetName val="METHANE"/>
      <sheetName val="RESULTS"/>
      <sheetName val="GRAPHS"/>
      <sheetName val="INVENTORY"/>
      <sheetName val="REPORT"/>
      <sheetName val="DEFAULTS"/>
    </sheetNames>
    <sheetDataSet>
      <sheetData sheetId="0"/>
      <sheetData sheetId="1">
        <row r="5">
          <cell r="D5">
            <v>1991</v>
          </cell>
        </row>
      </sheetData>
      <sheetData sheetId="2"/>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Brown, Jeanne" id="{072293C7-999D-4231-AB80-5CEA274B36F7}" userId="S::nrbrowj3@ads.state.mo.us::65fa60d4-77a8-4b6e-b9fc-5297cd78d65e"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10-27T18:56:06.68" personId="{072293C7-999D-4231-AB80-5CEA274B36F7}" id="{38EA8975-0D62-4740-AFED-6D504F08049C}">
    <text>Fugitive emissions calculated here should match MoEIS after data entry.</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5-10-27T18:30:22.42" personId="{072293C7-999D-4231-AB80-5CEA274B36F7}" id="{18DD496A-9770-4869-87AB-89CEA605465D}">
    <text>Fugitive emissions calculated here should match MoEIS after data entry.</text>
  </threadedComment>
  <threadedComment ref="F1" dT="2025-10-27T18:29:57.95" personId="{072293C7-999D-4231-AB80-5CEA274B36F7}" id="{633BD125-C66F-4FDD-884B-8420C815CCE8}">
    <text xml:space="preserve">Flare emissions calculated here should match MoEIS after data entered. </text>
  </threadedComment>
  <threadedComment ref="H11" dT="2025-10-27T15:02:25.55" personId="{072293C7-999D-4231-AB80-5CEA274B36F7}" id="{75B8EB4F-EF58-43E9-932E-CDDCC89B6D04}">
    <text xml:space="preserve">VOC emission factor accounts for the control. Do not add the overall control efficiency in the emission calculations on fast path. </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5-10-27T18:50:02.19" personId="{072293C7-999D-4231-AB80-5CEA274B36F7}" id="{7D97816D-49EA-4919-BDB8-A2D27F04B34C}">
    <text xml:space="preserve">Fugitive emissions calculated here should match MoEIS after data entry
</text>
  </threadedComment>
  <threadedComment ref="F1" dT="2025-10-27T18:49:26.23" personId="{072293C7-999D-4231-AB80-5CEA274B36F7}" id="{B75EEB57-B31A-418C-8D91-30FD41372EC9}">
    <text>Flare emissions calculated here should match MoEIS after data entry</text>
  </threadedComment>
  <threadedComment ref="H11" dT="2025-10-27T15:10:06.23" personId="{072293C7-999D-4231-AB80-5CEA274B36F7}" id="{585845F5-0249-4B70-953E-FDD8B29DFDF8}">
    <text xml:space="preserve">VOC emission factor accounts for the control. Do not add the overall control efficiency in the emission calculations on fast path. </text>
  </threadedComment>
  <threadedComment ref="F16" dT="2025-10-27T18:49:40.22" personId="{072293C7-999D-4231-AB80-5CEA274B36F7}" id="{58E3EB53-65C5-4D0E-85B8-F5744C6A74DB}">
    <text xml:space="preserve">Flare emissions calculated here should match MoEIS after data entry
</text>
  </threadedComment>
  <threadedComment ref="H26" dT="2025-10-27T15:11:22.86" personId="{072293C7-999D-4231-AB80-5CEA274B36F7}" id="{55C4610A-3725-4CC2-9EAA-79EFD7AA98C9}">
    <text>VOC emission factor accounts for the control. Do not add the overall control efficiency in the emission calculations on fast path.</text>
  </threadedComment>
  <threadedComment ref="F31" dT="2025-10-27T18:49:46.54" personId="{072293C7-999D-4231-AB80-5CEA274B36F7}" id="{20814B22-699A-447B-BE96-1DAB633F07DE}">
    <text xml:space="preserve">Flare emissions calculated here should match MoEIS after data entry
</text>
  </threadedComment>
  <threadedComment ref="H41" dT="2025-10-27T15:12:23.99" personId="{072293C7-999D-4231-AB80-5CEA274B36F7}" id="{486196BD-7CA6-450A-8236-D178F62B2A2C}">
    <text xml:space="preserve">VOC emission factor accounts for the control. Do not add the overall control efficiency in the emission calculations on fast path. </text>
  </threadedComment>
</ThreadedComments>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13" Type="http://schemas.openxmlformats.org/officeDocument/2006/relationships/oleObject" Target="../embeddings/oleObject3.bin"/><Relationship Id="rId3" Type="http://schemas.openxmlformats.org/officeDocument/2006/relationships/hyperlink" Target="https://dnr.mo.gov/sites/dnr/files/media/file/2025/04/landfill-emissions-calculation-tool-2025-v4.xlsx" TargetMode="External"/><Relationship Id="rId7" Type="http://schemas.openxmlformats.org/officeDocument/2006/relationships/drawing" Target="../drawings/drawing1.xml"/><Relationship Id="rId12" Type="http://schemas.openxmlformats.org/officeDocument/2006/relationships/image" Target="../media/image2.emf"/><Relationship Id="rId2" Type="http://schemas.openxmlformats.org/officeDocument/2006/relationships/hyperlink" Target="mailto:eiq@dnr.mo.gov" TargetMode="External"/><Relationship Id="rId1" Type="http://schemas.openxmlformats.org/officeDocument/2006/relationships/hyperlink" Target="https://apps5.mo.gov/moeis/main/login" TargetMode="External"/><Relationship Id="rId6" Type="http://schemas.openxmlformats.org/officeDocument/2006/relationships/printerSettings" Target="../printerSettings/printerSettings1.bin"/><Relationship Id="rId11" Type="http://schemas.openxmlformats.org/officeDocument/2006/relationships/oleObject" Target="../embeddings/oleObject2.bin"/><Relationship Id="rId5" Type="http://schemas.openxmlformats.org/officeDocument/2006/relationships/hyperlink" Target="https://cfpub.epa.gov/si/si_public_record_report.cfm?dirEntryId=365160&amp;Lab=CESER&amp;simplesearch=0&amp;showcriteria=2&amp;sortby=pubDate&amp;searchall=ORD-061874&amp;timstype=&amp;datebeginpublishedpresented=05/02/2023" TargetMode="External"/><Relationship Id="rId10" Type="http://schemas.openxmlformats.org/officeDocument/2006/relationships/image" Target="../media/image1.emf"/><Relationship Id="rId4" Type="http://schemas.openxmlformats.org/officeDocument/2006/relationships/hyperlink" Target="https://dnr.mo.gov/air/business-industry/reporting/emissions/fee-calculation" TargetMode="External"/><Relationship Id="rId9" Type="http://schemas.openxmlformats.org/officeDocument/2006/relationships/oleObject" Target="../embeddings/oleObject1.bin"/><Relationship Id="rId14" Type="http://schemas.openxmlformats.org/officeDocument/2006/relationships/image" Target="../media/image3.e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46415-7EBD-475D-950C-0FB81A64C985}">
  <sheetPr>
    <tabColor theme="5" tint="-0.249977111117893"/>
  </sheetPr>
  <dimension ref="A1:N16"/>
  <sheetViews>
    <sheetView tabSelected="1" zoomScale="86" zoomScaleNormal="86" workbookViewId="0">
      <selection activeCell="B1" sqref="B1"/>
    </sheetView>
  </sheetViews>
  <sheetFormatPr defaultRowHeight="14.4" x14ac:dyDescent="0.3"/>
  <cols>
    <col min="1" max="1" width="25.44140625" customWidth="1"/>
    <col min="2" max="2" width="96.5546875" bestFit="1" customWidth="1"/>
  </cols>
  <sheetData>
    <row r="1" spans="1:14" ht="21" x14ac:dyDescent="0.3">
      <c r="A1" s="24" t="s">
        <v>120</v>
      </c>
      <c r="B1" s="23"/>
      <c r="C1" s="23"/>
      <c r="D1" s="23"/>
      <c r="E1" s="23"/>
      <c r="F1" s="23"/>
      <c r="G1" s="23"/>
      <c r="H1" s="23"/>
      <c r="I1" s="23"/>
      <c r="J1" s="23"/>
      <c r="K1" s="23"/>
      <c r="L1" s="23"/>
      <c r="M1" s="22"/>
    </row>
    <row r="2" spans="1:14" ht="9" customHeight="1" x14ac:dyDescent="0.3">
      <c r="A2" s="24"/>
      <c r="B2" s="23"/>
      <c r="C2" s="23"/>
      <c r="D2" s="23"/>
      <c r="E2" s="23"/>
      <c r="F2" s="23"/>
      <c r="G2" s="23"/>
      <c r="H2" s="23"/>
      <c r="I2" s="23"/>
      <c r="J2" s="23"/>
      <c r="K2" s="23"/>
      <c r="L2" s="23"/>
      <c r="M2" s="22"/>
    </row>
    <row r="3" spans="1:14" ht="18.600000000000001" customHeight="1" x14ac:dyDescent="0.3">
      <c r="A3" s="45" t="s">
        <v>129</v>
      </c>
    </row>
    <row r="4" spans="1:14" x14ac:dyDescent="0.3">
      <c r="A4" s="46" t="s">
        <v>130</v>
      </c>
      <c r="B4" s="44" t="s">
        <v>131</v>
      </c>
    </row>
    <row r="5" spans="1:14" ht="18.600000000000001" customHeight="1" x14ac:dyDescent="0.3">
      <c r="A5" s="45" t="s">
        <v>180</v>
      </c>
    </row>
    <row r="6" spans="1:14" x14ac:dyDescent="0.3">
      <c r="A6" s="46" t="s">
        <v>130</v>
      </c>
      <c r="B6" s="44" t="s">
        <v>179</v>
      </c>
      <c r="D6" s="44"/>
    </row>
    <row r="7" spans="1:14" ht="18.600000000000001" customHeight="1" x14ac:dyDescent="0.3">
      <c r="A7" s="45" t="s">
        <v>169</v>
      </c>
      <c r="N7" s="44"/>
    </row>
    <row r="8" spans="1:14" x14ac:dyDescent="0.3">
      <c r="A8" s="46" t="s">
        <v>130</v>
      </c>
      <c r="B8" s="44" t="s">
        <v>170</v>
      </c>
    </row>
    <row r="9" spans="1:14" x14ac:dyDescent="0.3">
      <c r="A9" s="46" t="s">
        <v>172</v>
      </c>
      <c r="B9" s="44" t="s">
        <v>171</v>
      </c>
    </row>
    <row r="10" spans="1:14" ht="7.95" customHeight="1" x14ac:dyDescent="0.3">
      <c r="A10" s="43"/>
    </row>
    <row r="11" spans="1:14" ht="18.600000000000001" customHeight="1" x14ac:dyDescent="0.3">
      <c r="A11" s="45" t="s">
        <v>128</v>
      </c>
    </row>
    <row r="12" spans="1:14" x14ac:dyDescent="0.3">
      <c r="A12" s="46" t="s">
        <v>134</v>
      </c>
      <c r="B12" s="43" t="s">
        <v>133</v>
      </c>
    </row>
    <row r="13" spans="1:14" x14ac:dyDescent="0.3">
      <c r="A13" s="46" t="s">
        <v>135</v>
      </c>
      <c r="B13" s="44" t="s">
        <v>132</v>
      </c>
    </row>
    <row r="14" spans="1:14" x14ac:dyDescent="0.3">
      <c r="A14" s="46"/>
      <c r="B14" s="44"/>
    </row>
    <row r="15" spans="1:14" ht="74.400000000000006" customHeight="1" x14ac:dyDescent="0.3">
      <c r="A15" s="35"/>
    </row>
    <row r="16" spans="1:14" x14ac:dyDescent="0.3">
      <c r="A16" s="36"/>
    </row>
  </sheetData>
  <hyperlinks>
    <hyperlink ref="B4" r:id="rId1" xr:uid="{9C467390-C1CF-4652-B145-6B4544BD2EF5}"/>
    <hyperlink ref="B13" r:id="rId2" xr:uid="{90DC9660-5306-4326-BFCB-3C26D9E57A18}"/>
    <hyperlink ref="B9" r:id="rId3" xr:uid="{C01E0A2D-2D13-42AD-8E46-733B40E302BB}"/>
    <hyperlink ref="B8" r:id="rId4" display="https://dnr.mo.gov/air/business-industry/reporting/emissions/fee-calculation" xr:uid="{EBBD01ED-A63F-4064-BA7B-DDD703825146}"/>
    <hyperlink ref="B6" r:id="rId5" display="https://cfpub.epa.gov/si/si_public_record_report.cfm?dirEntryId=365160&amp;Lab=CESER&amp;simplesearch=0&amp;showcriteria=2&amp;sortby=pubDate&amp;searchall=ORD-061874&amp;timstype=&amp;datebeginpublishedpresented=05/02/2023" xr:uid="{B76C311E-4391-4083-99E4-989004780935}"/>
  </hyperlinks>
  <pageMargins left="0.7" right="0.7" top="0.75" bottom="0.75" header="0.3" footer="0.3"/>
  <pageSetup orientation="portrait" r:id="rId6"/>
  <drawing r:id="rId7"/>
  <legacyDrawing r:id="rId8"/>
  <oleObjects>
    <mc:AlternateContent xmlns:mc="http://schemas.openxmlformats.org/markup-compatibility/2006">
      <mc:Choice Requires="x14">
        <oleObject progId="Acrobat Document" dvAspect="DVASPECT_ICON" shapeId="5137" r:id="rId9">
          <objectPr defaultSize="0" autoPict="0" r:id="rId10">
            <anchor moveWithCells="1">
              <from>
                <xdr:col>1</xdr:col>
                <xdr:colOff>3048000</xdr:colOff>
                <xdr:row>14</xdr:row>
                <xdr:rowOff>22860</xdr:rowOff>
              </from>
              <to>
                <xdr:col>1</xdr:col>
                <xdr:colOff>4328160</xdr:colOff>
                <xdr:row>14</xdr:row>
                <xdr:rowOff>937260</xdr:rowOff>
              </to>
            </anchor>
          </objectPr>
        </oleObject>
      </mc:Choice>
      <mc:Fallback>
        <oleObject progId="Acrobat Document" dvAspect="DVASPECT_ICON" shapeId="5137" r:id="rId9"/>
      </mc:Fallback>
    </mc:AlternateContent>
    <mc:AlternateContent xmlns:mc="http://schemas.openxmlformats.org/markup-compatibility/2006">
      <mc:Choice Requires="x14">
        <oleObject progId="Acrobat Document" dvAspect="DVASPECT_ICON" shapeId="5170" r:id="rId11">
          <objectPr defaultSize="0" autoPict="0" r:id="rId12">
            <anchor moveWithCells="1">
              <from>
                <xdr:col>1</xdr:col>
                <xdr:colOff>0</xdr:colOff>
                <xdr:row>14</xdr:row>
                <xdr:rowOff>7620</xdr:rowOff>
              </from>
              <to>
                <xdr:col>1</xdr:col>
                <xdr:colOff>1257300</xdr:colOff>
                <xdr:row>14</xdr:row>
                <xdr:rowOff>937260</xdr:rowOff>
              </to>
            </anchor>
          </objectPr>
        </oleObject>
      </mc:Choice>
      <mc:Fallback>
        <oleObject progId="Acrobat Document" dvAspect="DVASPECT_ICON" shapeId="5170" r:id="rId11"/>
      </mc:Fallback>
    </mc:AlternateContent>
    <mc:AlternateContent xmlns:mc="http://schemas.openxmlformats.org/markup-compatibility/2006">
      <mc:Choice Requires="x14">
        <oleObject progId="Acrobat Document" dvAspect="DVASPECT_ICON" shapeId="5171" r:id="rId13">
          <objectPr defaultSize="0" autoPict="0" r:id="rId14">
            <anchor moveWithCells="1">
              <from>
                <xdr:col>1</xdr:col>
                <xdr:colOff>1539240</xdr:colOff>
                <xdr:row>14</xdr:row>
                <xdr:rowOff>15240</xdr:rowOff>
              </from>
              <to>
                <xdr:col>1</xdr:col>
                <xdr:colOff>2758440</xdr:colOff>
                <xdr:row>14</xdr:row>
                <xdr:rowOff>929640</xdr:rowOff>
              </to>
            </anchor>
          </objectPr>
        </oleObject>
      </mc:Choice>
      <mc:Fallback>
        <oleObject progId="Acrobat Document" dvAspect="DVASPECT_ICON" shapeId="5171" r:id="rId1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49FBA-DF25-4D93-A76C-DDFB07F4D2BC}">
  <sheetPr>
    <tabColor rgb="FF002060"/>
  </sheetPr>
  <dimension ref="A1:C119"/>
  <sheetViews>
    <sheetView zoomScale="86" zoomScaleNormal="86" workbookViewId="0">
      <selection activeCell="B3" sqref="B3"/>
    </sheetView>
  </sheetViews>
  <sheetFormatPr defaultColWidth="8.88671875" defaultRowHeight="14.4" x14ac:dyDescent="0.3"/>
  <cols>
    <col min="1" max="1" width="77.33203125" style="19" bestFit="1" customWidth="1"/>
    <col min="2" max="2" width="14.44140625" style="20" bestFit="1" customWidth="1"/>
    <col min="3" max="3" width="191" style="19" bestFit="1" customWidth="1"/>
    <col min="4" max="16384" width="8.88671875" style="19"/>
  </cols>
  <sheetData>
    <row r="1" spans="1:3" x14ac:dyDescent="0.3">
      <c r="A1" s="115" t="s">
        <v>139</v>
      </c>
      <c r="B1" s="116"/>
      <c r="C1" s="117"/>
    </row>
    <row r="2" spans="1:3" x14ac:dyDescent="0.3">
      <c r="A2" s="4" t="s">
        <v>91</v>
      </c>
      <c r="B2" s="5" t="s">
        <v>92</v>
      </c>
      <c r="C2" s="3" t="s">
        <v>93</v>
      </c>
    </row>
    <row r="3" spans="1:3" x14ac:dyDescent="0.3">
      <c r="A3" s="40" t="s">
        <v>0</v>
      </c>
      <c r="B3" s="25"/>
      <c r="C3" s="38" t="s">
        <v>4</v>
      </c>
    </row>
    <row r="4" spans="1:3" x14ac:dyDescent="0.3">
      <c r="A4" s="41" t="s">
        <v>1</v>
      </c>
      <c r="B4" s="26"/>
      <c r="C4" s="39" t="s">
        <v>3</v>
      </c>
    </row>
    <row r="5" spans="1:3" ht="16.2" x14ac:dyDescent="0.3">
      <c r="A5" s="40" t="s">
        <v>125</v>
      </c>
      <c r="B5" s="25"/>
      <c r="C5" s="38" t="s">
        <v>141</v>
      </c>
    </row>
    <row r="6" spans="1:3" x14ac:dyDescent="0.3">
      <c r="A6" s="41" t="s">
        <v>140</v>
      </c>
      <c r="B6" s="26"/>
      <c r="C6" s="39" t="s">
        <v>167</v>
      </c>
    </row>
    <row r="7" spans="1:3" x14ac:dyDescent="0.3">
      <c r="A7" s="40" t="s">
        <v>127</v>
      </c>
      <c r="B7" s="25"/>
      <c r="C7" s="64" t="s">
        <v>174</v>
      </c>
    </row>
    <row r="8" spans="1:3" x14ac:dyDescent="0.3">
      <c r="A8" s="41" t="s">
        <v>2</v>
      </c>
      <c r="B8" s="68"/>
      <c r="C8" s="39" t="s">
        <v>175</v>
      </c>
    </row>
    <row r="9" spans="1:3" x14ac:dyDescent="0.3">
      <c r="A9" s="40" t="s">
        <v>68</v>
      </c>
      <c r="B9" s="25" t="s">
        <v>144</v>
      </c>
      <c r="C9" s="6"/>
    </row>
    <row r="10" spans="1:3" x14ac:dyDescent="0.3">
      <c r="A10" s="41" t="s">
        <v>69</v>
      </c>
      <c r="B10" s="26"/>
      <c r="C10" s="39" t="s">
        <v>124</v>
      </c>
    </row>
    <row r="11" spans="1:3" x14ac:dyDescent="0.3">
      <c r="A11" s="40" t="s">
        <v>70</v>
      </c>
      <c r="B11" s="25"/>
      <c r="C11" s="38" t="s">
        <v>143</v>
      </c>
    </row>
    <row r="12" spans="1:3" x14ac:dyDescent="0.3">
      <c r="A12" s="40" t="s">
        <v>126</v>
      </c>
      <c r="B12" s="25"/>
      <c r="C12" s="64" t="s">
        <v>174</v>
      </c>
    </row>
    <row r="13" spans="1:3" x14ac:dyDescent="0.3">
      <c r="A13" s="41" t="s">
        <v>71</v>
      </c>
      <c r="B13" s="26"/>
      <c r="C13" s="39" t="s">
        <v>121</v>
      </c>
    </row>
    <row r="14" spans="1:3" x14ac:dyDescent="0.3">
      <c r="A14" s="40" t="s">
        <v>72</v>
      </c>
      <c r="B14" s="27"/>
      <c r="C14" s="38" t="s">
        <v>122</v>
      </c>
    </row>
    <row r="15" spans="1:3" ht="15" thickBot="1" x14ac:dyDescent="0.35">
      <c r="A15" s="42" t="s">
        <v>73</v>
      </c>
      <c r="B15" s="28"/>
      <c r="C15" s="37" t="s">
        <v>123</v>
      </c>
    </row>
    <row r="16" spans="1:3" ht="14.4" customHeight="1" x14ac:dyDescent="0.3">
      <c r="A16" s="113" t="s">
        <v>5</v>
      </c>
      <c r="B16" s="114"/>
      <c r="C16" s="111" t="s">
        <v>142</v>
      </c>
    </row>
    <row r="17" spans="1:3" ht="14.4" customHeight="1" x14ac:dyDescent="0.3">
      <c r="A17" s="118" t="s">
        <v>168</v>
      </c>
      <c r="B17" s="21" t="s">
        <v>6</v>
      </c>
      <c r="C17" s="112"/>
    </row>
    <row r="18" spans="1:3" x14ac:dyDescent="0.3">
      <c r="A18" s="118"/>
      <c r="B18" s="21" t="s">
        <v>7</v>
      </c>
      <c r="C18" s="92"/>
    </row>
    <row r="19" spans="1:3" x14ac:dyDescent="0.3">
      <c r="A19" s="60"/>
      <c r="B19" s="62"/>
      <c r="C19" s="92"/>
    </row>
    <row r="20" spans="1:3" x14ac:dyDescent="0.3">
      <c r="A20" s="61"/>
      <c r="B20" s="63"/>
      <c r="C20" s="92"/>
    </row>
    <row r="21" spans="1:3" x14ac:dyDescent="0.3">
      <c r="A21" s="60"/>
      <c r="B21" s="62"/>
      <c r="C21" s="92"/>
    </row>
    <row r="22" spans="1:3" x14ac:dyDescent="0.3">
      <c r="A22" s="61"/>
      <c r="B22" s="63"/>
      <c r="C22" s="92"/>
    </row>
    <row r="23" spans="1:3" x14ac:dyDescent="0.3">
      <c r="A23" s="60"/>
      <c r="B23" s="62"/>
      <c r="C23" s="92"/>
    </row>
    <row r="24" spans="1:3" x14ac:dyDescent="0.3">
      <c r="A24" s="61"/>
      <c r="B24" s="63"/>
      <c r="C24" s="92"/>
    </row>
    <row r="25" spans="1:3" x14ac:dyDescent="0.3">
      <c r="A25" s="60"/>
      <c r="B25" s="62"/>
      <c r="C25" s="92"/>
    </row>
    <row r="26" spans="1:3" x14ac:dyDescent="0.3">
      <c r="A26" s="61"/>
      <c r="B26" s="63"/>
      <c r="C26" s="92"/>
    </row>
    <row r="27" spans="1:3" x14ac:dyDescent="0.3">
      <c r="A27" s="60"/>
      <c r="B27" s="62"/>
      <c r="C27" s="92"/>
    </row>
    <row r="28" spans="1:3" x14ac:dyDescent="0.3">
      <c r="A28" s="61"/>
      <c r="B28" s="63"/>
      <c r="C28" s="92"/>
    </row>
    <row r="29" spans="1:3" x14ac:dyDescent="0.3">
      <c r="A29" s="60"/>
      <c r="B29" s="62"/>
      <c r="C29" s="92"/>
    </row>
    <row r="30" spans="1:3" x14ac:dyDescent="0.3">
      <c r="A30" s="61"/>
      <c r="B30" s="63"/>
      <c r="C30" s="92"/>
    </row>
    <row r="31" spans="1:3" x14ac:dyDescent="0.3">
      <c r="A31" s="60"/>
      <c r="B31" s="62"/>
      <c r="C31" s="92"/>
    </row>
    <row r="32" spans="1:3" x14ac:dyDescent="0.3">
      <c r="A32" s="61"/>
      <c r="B32" s="63"/>
      <c r="C32" s="92"/>
    </row>
    <row r="33" spans="1:3" x14ac:dyDescent="0.3">
      <c r="A33" s="60"/>
      <c r="B33" s="62"/>
      <c r="C33" s="92"/>
    </row>
    <row r="34" spans="1:3" x14ac:dyDescent="0.3">
      <c r="A34" s="61"/>
      <c r="B34" s="63"/>
      <c r="C34" s="92"/>
    </row>
    <row r="35" spans="1:3" x14ac:dyDescent="0.3">
      <c r="A35" s="60"/>
      <c r="B35" s="62"/>
      <c r="C35" s="92"/>
    </row>
    <row r="36" spans="1:3" x14ac:dyDescent="0.3">
      <c r="A36" s="61"/>
      <c r="B36" s="63"/>
      <c r="C36" s="92"/>
    </row>
    <row r="37" spans="1:3" x14ac:dyDescent="0.3">
      <c r="A37" s="60"/>
      <c r="B37" s="62"/>
      <c r="C37" s="92"/>
    </row>
    <row r="38" spans="1:3" x14ac:dyDescent="0.3">
      <c r="A38" s="61"/>
      <c r="B38" s="63"/>
      <c r="C38" s="92"/>
    </row>
    <row r="39" spans="1:3" x14ac:dyDescent="0.3">
      <c r="A39" s="60"/>
      <c r="B39" s="62"/>
      <c r="C39" s="92"/>
    </row>
    <row r="40" spans="1:3" x14ac:dyDescent="0.3">
      <c r="A40" s="61"/>
      <c r="B40" s="63"/>
      <c r="C40" s="92"/>
    </row>
    <row r="41" spans="1:3" x14ac:dyDescent="0.3">
      <c r="A41" s="60"/>
      <c r="B41" s="62"/>
      <c r="C41" s="92"/>
    </row>
    <row r="42" spans="1:3" x14ac:dyDescent="0.3">
      <c r="A42" s="61"/>
      <c r="B42" s="63"/>
      <c r="C42" s="92"/>
    </row>
    <row r="43" spans="1:3" x14ac:dyDescent="0.3">
      <c r="A43" s="60"/>
      <c r="B43" s="62"/>
      <c r="C43" s="92"/>
    </row>
    <row r="44" spans="1:3" x14ac:dyDescent="0.3">
      <c r="A44" s="61"/>
      <c r="B44" s="63"/>
      <c r="C44" s="92"/>
    </row>
    <row r="45" spans="1:3" x14ac:dyDescent="0.3">
      <c r="A45" s="60"/>
      <c r="B45" s="62"/>
      <c r="C45" s="92"/>
    </row>
    <row r="46" spans="1:3" x14ac:dyDescent="0.3">
      <c r="A46" s="61"/>
      <c r="B46" s="63"/>
      <c r="C46" s="92"/>
    </row>
    <row r="47" spans="1:3" x14ac:dyDescent="0.3">
      <c r="A47" s="60"/>
      <c r="B47" s="62"/>
      <c r="C47" s="92"/>
    </row>
    <row r="48" spans="1:3" x14ac:dyDescent="0.3">
      <c r="A48" s="61"/>
      <c r="B48" s="63"/>
      <c r="C48" s="92"/>
    </row>
    <row r="49" spans="1:3" x14ac:dyDescent="0.3">
      <c r="A49" s="60"/>
      <c r="B49" s="62"/>
      <c r="C49" s="92"/>
    </row>
    <row r="50" spans="1:3" x14ac:dyDescent="0.3">
      <c r="A50" s="61"/>
      <c r="B50" s="63"/>
      <c r="C50" s="92"/>
    </row>
    <row r="51" spans="1:3" x14ac:dyDescent="0.3">
      <c r="A51" s="60"/>
      <c r="B51" s="62"/>
      <c r="C51" s="92"/>
    </row>
    <row r="52" spans="1:3" x14ac:dyDescent="0.3">
      <c r="A52" s="61"/>
      <c r="B52" s="63"/>
      <c r="C52" s="92"/>
    </row>
    <row r="53" spans="1:3" x14ac:dyDescent="0.3">
      <c r="A53" s="60"/>
      <c r="B53" s="62"/>
      <c r="C53" s="92"/>
    </row>
    <row r="54" spans="1:3" x14ac:dyDescent="0.3">
      <c r="A54" s="61"/>
      <c r="B54" s="63"/>
      <c r="C54" s="92"/>
    </row>
    <row r="55" spans="1:3" x14ac:dyDescent="0.3">
      <c r="A55" s="60"/>
      <c r="B55" s="62"/>
      <c r="C55" s="92"/>
    </row>
    <row r="56" spans="1:3" x14ac:dyDescent="0.3">
      <c r="A56" s="61"/>
      <c r="B56" s="63"/>
      <c r="C56" s="92"/>
    </row>
    <row r="57" spans="1:3" x14ac:dyDescent="0.3">
      <c r="A57" s="60"/>
      <c r="B57" s="62"/>
      <c r="C57" s="92"/>
    </row>
    <row r="58" spans="1:3" x14ac:dyDescent="0.3">
      <c r="A58" s="61"/>
      <c r="B58" s="63"/>
      <c r="C58" s="92"/>
    </row>
    <row r="59" spans="1:3" x14ac:dyDescent="0.3">
      <c r="A59" s="60"/>
      <c r="B59" s="62"/>
      <c r="C59" s="92"/>
    </row>
    <row r="60" spans="1:3" x14ac:dyDescent="0.3">
      <c r="A60" s="61"/>
      <c r="B60" s="63"/>
      <c r="C60" s="92"/>
    </row>
    <row r="61" spans="1:3" x14ac:dyDescent="0.3">
      <c r="A61" s="60"/>
      <c r="B61" s="62"/>
      <c r="C61" s="92"/>
    </row>
    <row r="62" spans="1:3" x14ac:dyDescent="0.3">
      <c r="A62" s="61"/>
      <c r="B62" s="63"/>
      <c r="C62" s="92"/>
    </row>
    <row r="63" spans="1:3" x14ac:dyDescent="0.3">
      <c r="A63" s="60"/>
      <c r="B63" s="62"/>
      <c r="C63" s="92"/>
    </row>
    <row r="64" spans="1:3" x14ac:dyDescent="0.3">
      <c r="A64" s="61"/>
      <c r="B64" s="63"/>
      <c r="C64" s="92"/>
    </row>
    <row r="65" spans="1:3" x14ac:dyDescent="0.3">
      <c r="A65" s="60"/>
      <c r="B65" s="62"/>
      <c r="C65" s="92"/>
    </row>
    <row r="66" spans="1:3" x14ac:dyDescent="0.3">
      <c r="A66" s="61"/>
      <c r="B66" s="63"/>
      <c r="C66" s="92"/>
    </row>
    <row r="67" spans="1:3" x14ac:dyDescent="0.3">
      <c r="A67" s="60"/>
      <c r="B67" s="62"/>
      <c r="C67" s="92"/>
    </row>
    <row r="68" spans="1:3" x14ac:dyDescent="0.3">
      <c r="A68" s="61"/>
      <c r="B68" s="63"/>
      <c r="C68" s="92"/>
    </row>
    <row r="69" spans="1:3" x14ac:dyDescent="0.3">
      <c r="A69" s="60"/>
      <c r="B69" s="30"/>
      <c r="C69" s="92"/>
    </row>
    <row r="70" spans="1:3" x14ac:dyDescent="0.3">
      <c r="A70" s="31"/>
      <c r="B70" s="32"/>
      <c r="C70" s="92"/>
    </row>
    <row r="71" spans="1:3" x14ac:dyDescent="0.3">
      <c r="A71" s="29"/>
      <c r="B71" s="30"/>
      <c r="C71" s="92"/>
    </row>
    <row r="72" spans="1:3" x14ac:dyDescent="0.3">
      <c r="A72" s="31"/>
      <c r="B72" s="32"/>
      <c r="C72" s="92"/>
    </row>
    <row r="73" spans="1:3" x14ac:dyDescent="0.3">
      <c r="A73" s="29"/>
      <c r="B73" s="30"/>
      <c r="C73" s="92"/>
    </row>
    <row r="74" spans="1:3" x14ac:dyDescent="0.3">
      <c r="A74" s="31"/>
      <c r="B74" s="32"/>
      <c r="C74" s="92"/>
    </row>
    <row r="75" spans="1:3" x14ac:dyDescent="0.3">
      <c r="A75" s="29"/>
      <c r="B75" s="30"/>
      <c r="C75" s="92"/>
    </row>
    <row r="76" spans="1:3" x14ac:dyDescent="0.3">
      <c r="A76" s="31"/>
      <c r="B76" s="32"/>
      <c r="C76" s="92"/>
    </row>
    <row r="77" spans="1:3" x14ac:dyDescent="0.3">
      <c r="A77" s="29"/>
      <c r="B77" s="30"/>
      <c r="C77" s="92"/>
    </row>
    <row r="78" spans="1:3" ht="15" thickBot="1" x14ac:dyDescent="0.35">
      <c r="A78" s="33"/>
      <c r="B78" s="34"/>
      <c r="C78" s="93"/>
    </row>
    <row r="79" spans="1:3" x14ac:dyDescent="0.3">
      <c r="C79" s="91"/>
    </row>
    <row r="80" spans="1:3" x14ac:dyDescent="0.3">
      <c r="C80" s="91"/>
    </row>
    <row r="81" spans="3:3" x14ac:dyDescent="0.3">
      <c r="C81" s="91"/>
    </row>
    <row r="82" spans="3:3" x14ac:dyDescent="0.3">
      <c r="C82" s="91"/>
    </row>
    <row r="83" spans="3:3" x14ac:dyDescent="0.3">
      <c r="C83" s="91"/>
    </row>
    <row r="84" spans="3:3" x14ac:dyDescent="0.3">
      <c r="C84" s="91"/>
    </row>
    <row r="85" spans="3:3" x14ac:dyDescent="0.3">
      <c r="C85" s="91"/>
    </row>
    <row r="86" spans="3:3" x14ac:dyDescent="0.3">
      <c r="C86" s="91"/>
    </row>
    <row r="87" spans="3:3" x14ac:dyDescent="0.3">
      <c r="C87" s="91"/>
    </row>
    <row r="88" spans="3:3" x14ac:dyDescent="0.3">
      <c r="C88" s="91"/>
    </row>
    <row r="89" spans="3:3" x14ac:dyDescent="0.3">
      <c r="C89" s="91"/>
    </row>
    <row r="90" spans="3:3" x14ac:dyDescent="0.3">
      <c r="C90" s="91"/>
    </row>
    <row r="91" spans="3:3" x14ac:dyDescent="0.3">
      <c r="C91" s="91"/>
    </row>
    <row r="92" spans="3:3" x14ac:dyDescent="0.3">
      <c r="C92" s="91"/>
    </row>
    <row r="93" spans="3:3" x14ac:dyDescent="0.3">
      <c r="C93" s="91"/>
    </row>
    <row r="94" spans="3:3" x14ac:dyDescent="0.3">
      <c r="C94" s="91"/>
    </row>
    <row r="95" spans="3:3" x14ac:dyDescent="0.3">
      <c r="C95" s="91"/>
    </row>
    <row r="96" spans="3:3" x14ac:dyDescent="0.3">
      <c r="C96" s="91"/>
    </row>
    <row r="97" spans="3:3" x14ac:dyDescent="0.3">
      <c r="C97" s="91"/>
    </row>
    <row r="98" spans="3:3" x14ac:dyDescent="0.3">
      <c r="C98" s="91"/>
    </row>
    <row r="99" spans="3:3" x14ac:dyDescent="0.3">
      <c r="C99" s="91"/>
    </row>
    <row r="100" spans="3:3" x14ac:dyDescent="0.3">
      <c r="C100" s="91"/>
    </row>
    <row r="101" spans="3:3" x14ac:dyDescent="0.3">
      <c r="C101" s="91"/>
    </row>
    <row r="102" spans="3:3" x14ac:dyDescent="0.3">
      <c r="C102" s="91"/>
    </row>
    <row r="103" spans="3:3" x14ac:dyDescent="0.3">
      <c r="C103" s="91"/>
    </row>
    <row r="104" spans="3:3" x14ac:dyDescent="0.3">
      <c r="C104" s="91"/>
    </row>
    <row r="105" spans="3:3" x14ac:dyDescent="0.3">
      <c r="C105" s="91"/>
    </row>
    <row r="106" spans="3:3" x14ac:dyDescent="0.3">
      <c r="C106" s="91"/>
    </row>
    <row r="119" spans="2:2" s="91" customFormat="1" x14ac:dyDescent="0.3">
      <c r="B119" s="90"/>
    </row>
  </sheetData>
  <sheetProtection algorithmName="SHA-512" hashValue="d0lheXFN8BAGuhxjsgWEyMSxB0Id2j2BKduc3dmJttSV1dPlp5QQvfXKjkdIbsKYnY6i/dNhOhWa3435dPuYJw==" saltValue="wJzcDDwSwJYsBMvOMacNhw==" spinCount="100000" sheet="1" objects="1" scenarios="1"/>
  <mergeCells count="4">
    <mergeCell ref="C16:C17"/>
    <mergeCell ref="A16:B16"/>
    <mergeCell ref="A1:C1"/>
    <mergeCell ref="A17:A18"/>
  </mergeCells>
  <dataValidations count="1">
    <dataValidation type="list" allowBlank="1" showInputMessage="1" showErrorMessage="1" sqref="B9" xr:uid="{11BBC212-C122-4A7A-95C6-3164715DB8D8}">
      <formula1>",YES,NO/UNKNOWN"</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D67A7-44CD-46FE-B200-5E0CBB06DB1A}">
  <sheetPr>
    <tabColor rgb="FF00B0F0"/>
  </sheetPr>
  <dimension ref="A1:M55"/>
  <sheetViews>
    <sheetView zoomScale="86" zoomScaleNormal="86" workbookViewId="0">
      <selection activeCell="B3" sqref="B3"/>
    </sheetView>
  </sheetViews>
  <sheetFormatPr defaultRowHeight="14.4" x14ac:dyDescent="0.3"/>
  <cols>
    <col min="1" max="1" width="46.88671875" bestFit="1" customWidth="1"/>
    <col min="2" max="6" width="16.6640625" style="1" customWidth="1"/>
    <col min="7" max="7" width="4.88671875" customWidth="1"/>
    <col min="8" max="8" width="9.5546875" bestFit="1" customWidth="1"/>
    <col min="13" max="13" width="8.6640625" customWidth="1"/>
  </cols>
  <sheetData>
    <row r="1" spans="1:13" x14ac:dyDescent="0.3">
      <c r="A1" s="119" t="s">
        <v>8</v>
      </c>
      <c r="B1" s="121" t="s">
        <v>9</v>
      </c>
      <c r="C1" s="122"/>
      <c r="D1" s="122"/>
      <c r="E1" s="122"/>
      <c r="F1" s="123"/>
      <c r="H1" s="124" t="s">
        <v>173</v>
      </c>
      <c r="I1" s="124"/>
      <c r="J1" s="124"/>
      <c r="K1" s="124"/>
      <c r="L1" s="124"/>
      <c r="M1" s="124"/>
    </row>
    <row r="2" spans="1:13" ht="15" thickBot="1" x14ac:dyDescent="0.35">
      <c r="A2" s="120"/>
      <c r="B2" s="47" t="s">
        <v>7</v>
      </c>
      <c r="C2" s="47" t="s">
        <v>63</v>
      </c>
      <c r="D2" s="47" t="s">
        <v>64</v>
      </c>
      <c r="E2" s="47" t="s">
        <v>65</v>
      </c>
      <c r="F2" s="48" t="s">
        <v>10</v>
      </c>
      <c r="H2" s="124"/>
      <c r="I2" s="124"/>
      <c r="J2" s="124"/>
      <c r="K2" s="124"/>
      <c r="L2" s="124"/>
      <c r="M2" s="124"/>
    </row>
    <row r="3" spans="1:13" x14ac:dyDescent="0.3">
      <c r="A3" s="49" t="s">
        <v>11</v>
      </c>
      <c r="B3" s="54"/>
      <c r="C3" s="54"/>
      <c r="D3" s="54"/>
      <c r="E3" s="54"/>
      <c r="F3" s="55"/>
      <c r="H3" s="124"/>
      <c r="I3" s="124"/>
      <c r="J3" s="124"/>
      <c r="K3" s="124"/>
      <c r="L3" s="124"/>
      <c r="M3" s="124"/>
    </row>
    <row r="4" spans="1:13" x14ac:dyDescent="0.3">
      <c r="A4" s="50" t="s">
        <v>12</v>
      </c>
      <c r="B4" s="56"/>
      <c r="C4" s="56"/>
      <c r="D4" s="56"/>
      <c r="E4" s="56"/>
      <c r="F4" s="57"/>
      <c r="H4" s="124"/>
      <c r="I4" s="124"/>
      <c r="J4" s="124"/>
      <c r="K4" s="124"/>
      <c r="L4" s="124"/>
      <c r="M4" s="124"/>
    </row>
    <row r="5" spans="1:13" x14ac:dyDescent="0.3">
      <c r="A5" s="51" t="s">
        <v>13</v>
      </c>
      <c r="B5" s="56"/>
      <c r="C5" s="56"/>
      <c r="D5" s="56"/>
      <c r="E5" s="56"/>
      <c r="F5" s="57"/>
      <c r="H5" s="124"/>
      <c r="I5" s="124"/>
      <c r="J5" s="124"/>
      <c r="K5" s="124"/>
      <c r="L5" s="124"/>
      <c r="M5" s="124"/>
    </row>
    <row r="6" spans="1:13" x14ac:dyDescent="0.3">
      <c r="A6" s="50" t="s">
        <v>14</v>
      </c>
      <c r="B6" s="56"/>
      <c r="C6" s="56"/>
      <c r="D6" s="56"/>
      <c r="E6" s="56"/>
      <c r="F6" s="57"/>
    </row>
    <row r="7" spans="1:13" x14ac:dyDescent="0.3">
      <c r="A7" s="51" t="s">
        <v>15</v>
      </c>
      <c r="B7" s="56"/>
      <c r="C7" s="56"/>
      <c r="D7" s="56"/>
      <c r="E7" s="56"/>
      <c r="F7" s="57"/>
      <c r="H7" s="2"/>
    </row>
    <row r="8" spans="1:13" x14ac:dyDescent="0.3">
      <c r="A8" s="50" t="s">
        <v>16</v>
      </c>
      <c r="B8" s="56"/>
      <c r="C8" s="56"/>
      <c r="D8" s="56"/>
      <c r="E8" s="56"/>
      <c r="F8" s="57"/>
      <c r="H8" s="2"/>
    </row>
    <row r="9" spans="1:13" x14ac:dyDescent="0.3">
      <c r="A9" s="51" t="s">
        <v>17</v>
      </c>
      <c r="B9" s="56"/>
      <c r="C9" s="56"/>
      <c r="D9" s="56"/>
      <c r="E9" s="56"/>
      <c r="F9" s="57"/>
      <c r="H9" s="2"/>
    </row>
    <row r="10" spans="1:13" x14ac:dyDescent="0.3">
      <c r="A10" s="50" t="s">
        <v>18</v>
      </c>
      <c r="B10" s="56"/>
      <c r="C10" s="56"/>
      <c r="D10" s="56"/>
      <c r="E10" s="56"/>
      <c r="F10" s="57"/>
      <c r="H10" s="2"/>
    </row>
    <row r="11" spans="1:13" x14ac:dyDescent="0.3">
      <c r="A11" s="51" t="s">
        <v>19</v>
      </c>
      <c r="B11" s="56"/>
      <c r="C11" s="56"/>
      <c r="D11" s="56"/>
      <c r="E11" s="56"/>
      <c r="F11" s="57"/>
      <c r="H11" s="2"/>
    </row>
    <row r="12" spans="1:13" x14ac:dyDescent="0.3">
      <c r="A12" s="50" t="s">
        <v>20</v>
      </c>
      <c r="B12" s="56"/>
      <c r="C12" s="56"/>
      <c r="D12" s="56"/>
      <c r="E12" s="56"/>
      <c r="F12" s="57"/>
      <c r="H12" s="2"/>
    </row>
    <row r="13" spans="1:13" x14ac:dyDescent="0.3">
      <c r="A13" s="51" t="s">
        <v>21</v>
      </c>
      <c r="B13" s="56"/>
      <c r="C13" s="56"/>
      <c r="D13" s="56"/>
      <c r="E13" s="56"/>
      <c r="F13" s="57"/>
      <c r="H13" s="2"/>
    </row>
    <row r="14" spans="1:13" x14ac:dyDescent="0.3">
      <c r="A14" s="50" t="s">
        <v>22</v>
      </c>
      <c r="B14" s="56"/>
      <c r="C14" s="56"/>
      <c r="D14" s="56"/>
      <c r="E14" s="56"/>
      <c r="F14" s="57"/>
      <c r="H14" s="2"/>
    </row>
    <row r="15" spans="1:13" x14ac:dyDescent="0.3">
      <c r="A15" s="51" t="s">
        <v>23</v>
      </c>
      <c r="B15" s="56"/>
      <c r="C15" s="56"/>
      <c r="D15" s="56"/>
      <c r="E15" s="56"/>
      <c r="F15" s="57"/>
      <c r="H15" s="2"/>
    </row>
    <row r="16" spans="1:13" x14ac:dyDescent="0.3">
      <c r="A16" s="50" t="s">
        <v>24</v>
      </c>
      <c r="B16" s="56"/>
      <c r="C16" s="56"/>
      <c r="D16" s="56"/>
      <c r="E16" s="56"/>
      <c r="F16" s="57"/>
      <c r="H16" s="2"/>
    </row>
    <row r="17" spans="1:8" x14ac:dyDescent="0.3">
      <c r="A17" s="51" t="s">
        <v>25</v>
      </c>
      <c r="B17" s="56"/>
      <c r="C17" s="56"/>
      <c r="D17" s="56"/>
      <c r="E17" s="56"/>
      <c r="F17" s="57"/>
      <c r="H17" s="2"/>
    </row>
    <row r="18" spans="1:8" x14ac:dyDescent="0.3">
      <c r="A18" s="50" t="s">
        <v>26</v>
      </c>
      <c r="B18" s="56"/>
      <c r="C18" s="56"/>
      <c r="D18" s="56"/>
      <c r="E18" s="56"/>
      <c r="F18" s="57"/>
      <c r="H18" s="2"/>
    </row>
    <row r="19" spans="1:8" x14ac:dyDescent="0.3">
      <c r="A19" s="51" t="s">
        <v>27</v>
      </c>
      <c r="B19" s="56"/>
      <c r="C19" s="56"/>
      <c r="D19" s="56"/>
      <c r="E19" s="56"/>
      <c r="F19" s="57"/>
      <c r="H19" s="2"/>
    </row>
    <row r="20" spans="1:8" x14ac:dyDescent="0.3">
      <c r="A20" s="50" t="s">
        <v>28</v>
      </c>
      <c r="B20" s="56"/>
      <c r="C20" s="56"/>
      <c r="D20" s="56"/>
      <c r="E20" s="56"/>
      <c r="F20" s="57"/>
      <c r="H20" s="2"/>
    </row>
    <row r="21" spans="1:8" x14ac:dyDescent="0.3">
      <c r="A21" s="51" t="s">
        <v>29</v>
      </c>
      <c r="B21" s="56"/>
      <c r="C21" s="56"/>
      <c r="D21" s="56"/>
      <c r="E21" s="56"/>
      <c r="F21" s="57"/>
      <c r="H21" s="2"/>
    </row>
    <row r="22" spans="1:8" x14ac:dyDescent="0.3">
      <c r="A22" s="50" t="s">
        <v>30</v>
      </c>
      <c r="B22" s="56"/>
      <c r="C22" s="56"/>
      <c r="D22" s="56"/>
      <c r="E22" s="56"/>
      <c r="F22" s="57"/>
      <c r="H22" s="2"/>
    </row>
    <row r="23" spans="1:8" x14ac:dyDescent="0.3">
      <c r="A23" s="51" t="s">
        <v>31</v>
      </c>
      <c r="B23" s="56"/>
      <c r="C23" s="56"/>
      <c r="D23" s="56"/>
      <c r="E23" s="56"/>
      <c r="F23" s="57"/>
      <c r="H23" s="2"/>
    </row>
    <row r="24" spans="1:8" x14ac:dyDescent="0.3">
      <c r="A24" s="50" t="s">
        <v>32</v>
      </c>
      <c r="B24" s="56"/>
      <c r="C24" s="56"/>
      <c r="D24" s="56"/>
      <c r="E24" s="56"/>
      <c r="F24" s="57"/>
      <c r="H24" s="2"/>
    </row>
    <row r="25" spans="1:8" x14ac:dyDescent="0.3">
      <c r="A25" s="51" t="s">
        <v>33</v>
      </c>
      <c r="B25" s="56"/>
      <c r="C25" s="56"/>
      <c r="D25" s="56"/>
      <c r="E25" s="56"/>
      <c r="F25" s="57"/>
      <c r="H25" s="2"/>
    </row>
    <row r="26" spans="1:8" x14ac:dyDescent="0.3">
      <c r="A26" s="50" t="s">
        <v>34</v>
      </c>
      <c r="B26" s="56"/>
      <c r="C26" s="56"/>
      <c r="D26" s="56"/>
      <c r="E26" s="56"/>
      <c r="F26" s="57"/>
      <c r="H26" s="2"/>
    </row>
    <row r="27" spans="1:8" x14ac:dyDescent="0.3">
      <c r="A27" s="51" t="s">
        <v>35</v>
      </c>
      <c r="B27" s="56"/>
      <c r="C27" s="56"/>
      <c r="D27" s="56"/>
      <c r="E27" s="56"/>
      <c r="F27" s="57"/>
      <c r="H27" s="2"/>
    </row>
    <row r="28" spans="1:8" x14ac:dyDescent="0.3">
      <c r="A28" s="50" t="s">
        <v>36</v>
      </c>
      <c r="B28" s="56"/>
      <c r="C28" s="56"/>
      <c r="D28" s="56"/>
      <c r="E28" s="56"/>
      <c r="F28" s="57"/>
      <c r="H28" s="2"/>
    </row>
    <row r="29" spans="1:8" x14ac:dyDescent="0.3">
      <c r="A29" s="51" t="s">
        <v>37</v>
      </c>
      <c r="B29" s="56"/>
      <c r="C29" s="56"/>
      <c r="D29" s="56"/>
      <c r="E29" s="56"/>
      <c r="F29" s="57"/>
      <c r="H29" s="2"/>
    </row>
    <row r="30" spans="1:8" x14ac:dyDescent="0.3">
      <c r="A30" s="50" t="s">
        <v>38</v>
      </c>
      <c r="B30" s="56"/>
      <c r="C30" s="56"/>
      <c r="D30" s="56"/>
      <c r="E30" s="56"/>
      <c r="F30" s="57"/>
      <c r="H30" s="2"/>
    </row>
    <row r="31" spans="1:8" x14ac:dyDescent="0.3">
      <c r="A31" s="51" t="s">
        <v>39</v>
      </c>
      <c r="B31" s="56"/>
      <c r="C31" s="56"/>
      <c r="D31" s="56"/>
      <c r="E31" s="56"/>
      <c r="F31" s="57"/>
      <c r="H31" s="2"/>
    </row>
    <row r="32" spans="1:8" x14ac:dyDescent="0.3">
      <c r="A32" s="50" t="s">
        <v>40</v>
      </c>
      <c r="B32" s="56"/>
      <c r="C32" s="56"/>
      <c r="D32" s="56"/>
      <c r="E32" s="56"/>
      <c r="F32" s="57"/>
      <c r="H32" s="2"/>
    </row>
    <row r="33" spans="1:8" x14ac:dyDescent="0.3">
      <c r="A33" s="51" t="s">
        <v>41</v>
      </c>
      <c r="B33" s="56"/>
      <c r="C33" s="56"/>
      <c r="D33" s="56"/>
      <c r="E33" s="56"/>
      <c r="F33" s="57"/>
      <c r="H33" s="2"/>
    </row>
    <row r="34" spans="1:8" x14ac:dyDescent="0.3">
      <c r="A34" s="50" t="s">
        <v>42</v>
      </c>
      <c r="B34" s="56"/>
      <c r="C34" s="56"/>
      <c r="D34" s="56"/>
      <c r="E34" s="56"/>
      <c r="F34" s="57"/>
      <c r="H34" s="2"/>
    </row>
    <row r="35" spans="1:8" x14ac:dyDescent="0.3">
      <c r="A35" s="51" t="s">
        <v>43</v>
      </c>
      <c r="B35" s="56"/>
      <c r="C35" s="56"/>
      <c r="D35" s="56"/>
      <c r="E35" s="56"/>
      <c r="F35" s="57"/>
      <c r="H35" s="2"/>
    </row>
    <row r="36" spans="1:8" x14ac:dyDescent="0.3">
      <c r="A36" s="50" t="s">
        <v>44</v>
      </c>
      <c r="B36" s="56"/>
      <c r="C36" s="56"/>
      <c r="D36" s="56"/>
      <c r="E36" s="56"/>
      <c r="F36" s="57"/>
      <c r="H36" s="2"/>
    </row>
    <row r="37" spans="1:8" x14ac:dyDescent="0.3">
      <c r="A37" s="51" t="s">
        <v>45</v>
      </c>
      <c r="B37" s="56"/>
      <c r="C37" s="56"/>
      <c r="D37" s="56"/>
      <c r="E37" s="56"/>
      <c r="F37" s="57"/>
      <c r="H37" s="2"/>
    </row>
    <row r="38" spans="1:8" x14ac:dyDescent="0.3">
      <c r="A38" s="50" t="s">
        <v>46</v>
      </c>
      <c r="B38" s="56"/>
      <c r="C38" s="56"/>
      <c r="D38" s="56"/>
      <c r="E38" s="56"/>
      <c r="F38" s="57"/>
      <c r="H38" s="2"/>
    </row>
    <row r="39" spans="1:8" x14ac:dyDescent="0.3">
      <c r="A39" s="51" t="s">
        <v>47</v>
      </c>
      <c r="B39" s="56"/>
      <c r="C39" s="56"/>
      <c r="D39" s="56"/>
      <c r="E39" s="56"/>
      <c r="F39" s="57"/>
      <c r="H39" s="2"/>
    </row>
    <row r="40" spans="1:8" x14ac:dyDescent="0.3">
      <c r="A40" s="50" t="s">
        <v>48</v>
      </c>
      <c r="B40" s="56"/>
      <c r="C40" s="56"/>
      <c r="D40" s="56"/>
      <c r="E40" s="56"/>
      <c r="F40" s="57"/>
      <c r="H40" s="2"/>
    </row>
    <row r="41" spans="1:8" x14ac:dyDescent="0.3">
      <c r="A41" s="51" t="s">
        <v>49</v>
      </c>
      <c r="B41" s="56"/>
      <c r="C41" s="56"/>
      <c r="D41" s="56"/>
      <c r="E41" s="56"/>
      <c r="F41" s="57"/>
      <c r="H41" s="2"/>
    </row>
    <row r="42" spans="1:8" x14ac:dyDescent="0.3">
      <c r="A42" s="50" t="s">
        <v>50</v>
      </c>
      <c r="B42" s="56"/>
      <c r="C42" s="56"/>
      <c r="D42" s="56"/>
      <c r="E42" s="56"/>
      <c r="F42" s="57"/>
      <c r="H42" s="2"/>
    </row>
    <row r="43" spans="1:8" x14ac:dyDescent="0.3">
      <c r="A43" s="51" t="s">
        <v>51</v>
      </c>
      <c r="B43" s="56"/>
      <c r="C43" s="56"/>
      <c r="D43" s="56"/>
      <c r="E43" s="56"/>
      <c r="F43" s="57"/>
      <c r="H43" s="2"/>
    </row>
    <row r="44" spans="1:8" x14ac:dyDescent="0.3">
      <c r="A44" s="50" t="s">
        <v>52</v>
      </c>
      <c r="B44" s="56"/>
      <c r="C44" s="56"/>
      <c r="D44" s="56"/>
      <c r="E44" s="56"/>
      <c r="F44" s="57"/>
      <c r="H44" s="2"/>
    </row>
    <row r="45" spans="1:8" x14ac:dyDescent="0.3">
      <c r="A45" s="51" t="s">
        <v>53</v>
      </c>
      <c r="B45" s="56"/>
      <c r="C45" s="56"/>
      <c r="D45" s="56"/>
      <c r="E45" s="56"/>
      <c r="F45" s="57"/>
      <c r="H45" s="2"/>
    </row>
    <row r="46" spans="1:8" x14ac:dyDescent="0.3">
      <c r="A46" s="50" t="s">
        <v>54</v>
      </c>
      <c r="B46" s="56"/>
      <c r="C46" s="56"/>
      <c r="D46" s="56"/>
      <c r="E46" s="56"/>
      <c r="F46" s="57"/>
      <c r="H46" s="2"/>
    </row>
    <row r="47" spans="1:8" x14ac:dyDescent="0.3">
      <c r="A47" s="51" t="s">
        <v>55</v>
      </c>
      <c r="B47" s="56"/>
      <c r="C47" s="56"/>
      <c r="D47" s="56"/>
      <c r="E47" s="56"/>
      <c r="F47" s="57"/>
      <c r="H47" s="2"/>
    </row>
    <row r="48" spans="1:8" x14ac:dyDescent="0.3">
      <c r="A48" s="50" t="s">
        <v>56</v>
      </c>
      <c r="B48" s="56"/>
      <c r="C48" s="56"/>
      <c r="D48" s="56"/>
      <c r="E48" s="56"/>
      <c r="F48" s="57"/>
      <c r="H48" s="2"/>
    </row>
    <row r="49" spans="1:8" x14ac:dyDescent="0.3">
      <c r="A49" s="51" t="s">
        <v>57</v>
      </c>
      <c r="B49" s="56"/>
      <c r="C49" s="56"/>
      <c r="D49" s="56"/>
      <c r="E49" s="56"/>
      <c r="F49" s="57"/>
      <c r="H49" s="2"/>
    </row>
    <row r="50" spans="1:8" x14ac:dyDescent="0.3">
      <c r="A50" s="50" t="s">
        <v>58</v>
      </c>
      <c r="B50" s="56"/>
      <c r="C50" s="56"/>
      <c r="D50" s="56"/>
      <c r="E50" s="56"/>
      <c r="F50" s="57"/>
      <c r="H50" s="2"/>
    </row>
    <row r="51" spans="1:8" x14ac:dyDescent="0.3">
      <c r="A51" s="51" t="s">
        <v>59</v>
      </c>
      <c r="B51" s="56"/>
      <c r="C51" s="56"/>
      <c r="D51" s="56"/>
      <c r="E51" s="56"/>
      <c r="F51" s="57"/>
      <c r="H51" s="2"/>
    </row>
    <row r="52" spans="1:8" x14ac:dyDescent="0.3">
      <c r="A52" s="50" t="s">
        <v>60</v>
      </c>
      <c r="B52" s="56"/>
      <c r="C52" s="56"/>
      <c r="D52" s="56"/>
      <c r="E52" s="56"/>
      <c r="F52" s="57"/>
      <c r="H52" s="2"/>
    </row>
    <row r="53" spans="1:8" x14ac:dyDescent="0.3">
      <c r="A53" s="51" t="s">
        <v>61</v>
      </c>
      <c r="B53" s="56"/>
      <c r="C53" s="56"/>
      <c r="D53" s="56"/>
      <c r="E53" s="56"/>
      <c r="F53" s="57"/>
      <c r="H53" s="2"/>
    </row>
    <row r="54" spans="1:8" x14ac:dyDescent="0.3">
      <c r="A54" s="52" t="s">
        <v>62</v>
      </c>
      <c r="B54" s="56"/>
      <c r="C54" s="56"/>
      <c r="D54" s="56"/>
      <c r="E54" s="56"/>
      <c r="F54" s="57"/>
      <c r="H54" s="2"/>
    </row>
    <row r="55" spans="1:8" ht="15" thickBot="1" x14ac:dyDescent="0.35">
      <c r="A55" s="53" t="s">
        <v>137</v>
      </c>
      <c r="B55" s="58"/>
      <c r="C55" s="58"/>
      <c r="D55" s="58"/>
      <c r="E55" s="58"/>
      <c r="F55" s="59"/>
    </row>
  </sheetData>
  <sheetProtection algorithmName="SHA-512" hashValue="b+Rmhdp7JRZnlN5or7mKB2UIJELPZ1UDedjYRzvJM9Xvp2wvLK9wzQtdjF4INZZNa0c9werHIdkR+mr87Rq9lQ==" saltValue="CMh6c7COabJyzixYiFkXBg==" spinCount="100000" sheet="1" objects="1" scenarios="1"/>
  <mergeCells count="3">
    <mergeCell ref="A1:A2"/>
    <mergeCell ref="B1:F1"/>
    <mergeCell ref="H1:M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F5F94-ABE4-4B2D-AFA4-CBD4936CF269}">
  <sheetPr>
    <tabColor theme="9" tint="0.39997558519241921"/>
  </sheetPr>
  <dimension ref="A1:F38"/>
  <sheetViews>
    <sheetView zoomScale="86" zoomScaleNormal="86" workbookViewId="0">
      <selection sqref="A1:D1"/>
    </sheetView>
  </sheetViews>
  <sheetFormatPr defaultRowHeight="14.4" x14ac:dyDescent="0.3"/>
  <cols>
    <col min="1" max="1" width="46.88671875" bestFit="1" customWidth="1"/>
    <col min="2" max="2" width="17.109375" customWidth="1"/>
    <col min="3" max="3" width="17" style="1" customWidth="1"/>
    <col min="4" max="4" width="17" customWidth="1"/>
    <col min="5" max="5" width="2.33203125" customWidth="1"/>
  </cols>
  <sheetData>
    <row r="1" spans="1:6" ht="15" thickBot="1" x14ac:dyDescent="0.35">
      <c r="A1" s="147" t="s">
        <v>79</v>
      </c>
      <c r="B1" s="148"/>
      <c r="C1" s="148"/>
      <c r="D1" s="149"/>
      <c r="F1" s="105"/>
    </row>
    <row r="2" spans="1:6" x14ac:dyDescent="0.3">
      <c r="A2" s="150" t="s">
        <v>80</v>
      </c>
      <c r="B2" s="151"/>
      <c r="C2" s="152">
        <f>ROUND(LandGEMOutputs!D3*525600/1000000,4)</f>
        <v>0</v>
      </c>
      <c r="D2" s="153"/>
    </row>
    <row r="3" spans="1:6" x14ac:dyDescent="0.3">
      <c r="A3" s="133" t="s">
        <v>76</v>
      </c>
      <c r="B3" s="134"/>
      <c r="C3" s="141">
        <f>ROUND(SUM(C9+C26+C30+C32),4)</f>
        <v>0</v>
      </c>
      <c r="D3" s="142"/>
    </row>
    <row r="4" spans="1:6" x14ac:dyDescent="0.3">
      <c r="A4" s="143" t="s">
        <v>75</v>
      </c>
      <c r="B4" s="144"/>
      <c r="C4" s="145">
        <f>ROUND(LandGEMOutputs!F6,4)</f>
        <v>0</v>
      </c>
      <c r="D4" s="146"/>
    </row>
    <row r="5" spans="1:6" x14ac:dyDescent="0.3">
      <c r="A5" s="133" t="s">
        <v>78</v>
      </c>
      <c r="B5" s="134"/>
      <c r="C5" s="135" t="e">
        <f>ROUND(C3*2000/C2,4)</f>
        <v>#DIV/0!</v>
      </c>
      <c r="D5" s="136"/>
    </row>
    <row r="6" spans="1:6" ht="15" thickBot="1" x14ac:dyDescent="0.35">
      <c r="A6" s="137" t="s">
        <v>77</v>
      </c>
      <c r="B6" s="138"/>
      <c r="C6" s="139" t="e">
        <f>ROUND(C4*2000/C2,4)</f>
        <v>#DIV/0!</v>
      </c>
      <c r="D6" s="140"/>
    </row>
    <row r="7" spans="1:6" x14ac:dyDescent="0.3">
      <c r="A7" s="127" t="s">
        <v>8</v>
      </c>
      <c r="B7" s="129" t="s">
        <v>74</v>
      </c>
      <c r="C7" s="131" t="s">
        <v>9</v>
      </c>
      <c r="D7" s="132"/>
    </row>
    <row r="8" spans="1:6" x14ac:dyDescent="0.3">
      <c r="A8" s="128"/>
      <c r="B8" s="130"/>
      <c r="C8" s="17" t="s">
        <v>10</v>
      </c>
      <c r="D8" s="18" t="s">
        <v>66</v>
      </c>
    </row>
    <row r="9" spans="1:6" x14ac:dyDescent="0.3">
      <c r="A9" s="7" t="s">
        <v>15</v>
      </c>
      <c r="B9" s="8" t="s">
        <v>94</v>
      </c>
      <c r="C9" s="9">
        <f>LandGEMOutputs!$F$7</f>
        <v>0</v>
      </c>
      <c r="D9" s="10">
        <f>C9*2000</f>
        <v>0</v>
      </c>
    </row>
    <row r="10" spans="1:6" x14ac:dyDescent="0.3">
      <c r="A10" s="11" t="s">
        <v>16</v>
      </c>
      <c r="B10" s="12" t="s">
        <v>95</v>
      </c>
      <c r="C10" s="13">
        <f>LandGEMOutputs!$F$8</f>
        <v>0</v>
      </c>
      <c r="D10" s="14">
        <f t="shared" ref="D10:D37" si="0">C10*2000</f>
        <v>0</v>
      </c>
    </row>
    <row r="11" spans="1:6" x14ac:dyDescent="0.3">
      <c r="A11" s="7" t="s">
        <v>17</v>
      </c>
      <c r="B11" s="8" t="s">
        <v>96</v>
      </c>
      <c r="C11" s="9">
        <f>LandGEMOutputs!$F$9</f>
        <v>0</v>
      </c>
      <c r="D11" s="10">
        <f t="shared" si="0"/>
        <v>0</v>
      </c>
    </row>
    <row r="12" spans="1:6" x14ac:dyDescent="0.3">
      <c r="A12" s="11" t="s">
        <v>18</v>
      </c>
      <c r="B12" s="12" t="s">
        <v>97</v>
      </c>
      <c r="C12" s="13">
        <f>LandGEMOutputs!$F$10</f>
        <v>0</v>
      </c>
      <c r="D12" s="14">
        <f t="shared" si="0"/>
        <v>0</v>
      </c>
    </row>
    <row r="13" spans="1:6" x14ac:dyDescent="0.3">
      <c r="A13" s="7" t="s">
        <v>19</v>
      </c>
      <c r="B13" s="8" t="s">
        <v>98</v>
      </c>
      <c r="C13" s="9">
        <f>LandGEMOutputs!$F$11</f>
        <v>0</v>
      </c>
      <c r="D13" s="10">
        <f t="shared" si="0"/>
        <v>0</v>
      </c>
    </row>
    <row r="14" spans="1:6" x14ac:dyDescent="0.3">
      <c r="A14" s="11" t="s">
        <v>20</v>
      </c>
      <c r="B14" s="12" t="s">
        <v>99</v>
      </c>
      <c r="C14" s="13">
        <f>LandGEMOutputs!$F$12</f>
        <v>0</v>
      </c>
      <c r="D14" s="14">
        <f t="shared" si="0"/>
        <v>0</v>
      </c>
    </row>
    <row r="15" spans="1:6" x14ac:dyDescent="0.3">
      <c r="A15" s="7" t="s">
        <v>23</v>
      </c>
      <c r="B15" s="8" t="s">
        <v>100</v>
      </c>
      <c r="C15" s="9">
        <f>LandGEMOutputs!$F$15</f>
        <v>0</v>
      </c>
      <c r="D15" s="10">
        <f t="shared" si="0"/>
        <v>0</v>
      </c>
    </row>
    <row r="16" spans="1:6" x14ac:dyDescent="0.3">
      <c r="A16" s="11" t="s">
        <v>24</v>
      </c>
      <c r="B16" s="12" t="s">
        <v>119</v>
      </c>
      <c r="C16" s="13">
        <f>IF(UserInputs!$B$9="YES",0,LandGEMOutputs!$F$16)</f>
        <v>0</v>
      </c>
      <c r="D16" s="14">
        <f t="shared" si="0"/>
        <v>0</v>
      </c>
    </row>
    <row r="17" spans="1:4" x14ac:dyDescent="0.3">
      <c r="A17" s="7" t="s">
        <v>25</v>
      </c>
      <c r="B17" s="8" t="s">
        <v>119</v>
      </c>
      <c r="C17" s="9">
        <f>IF(UserInputs!$B$9="YES",LandGEMOutputs!$F$17, 0)</f>
        <v>0</v>
      </c>
      <c r="D17" s="10">
        <f t="shared" si="0"/>
        <v>0</v>
      </c>
    </row>
    <row r="18" spans="1:4" x14ac:dyDescent="0.3">
      <c r="A18" s="11" t="s">
        <v>28</v>
      </c>
      <c r="B18" s="12" t="s">
        <v>101</v>
      </c>
      <c r="C18" s="13">
        <f>LandGEMOutputs!$F$20</f>
        <v>0</v>
      </c>
      <c r="D18" s="14">
        <f t="shared" si="0"/>
        <v>0</v>
      </c>
    </row>
    <row r="19" spans="1:4" x14ac:dyDescent="0.3">
      <c r="A19" s="7" t="s">
        <v>30</v>
      </c>
      <c r="B19" s="8" t="s">
        <v>102</v>
      </c>
      <c r="C19" s="9">
        <f>LandGEMOutputs!$F$22</f>
        <v>0</v>
      </c>
      <c r="D19" s="10">
        <f t="shared" si="0"/>
        <v>0</v>
      </c>
    </row>
    <row r="20" spans="1:4" x14ac:dyDescent="0.3">
      <c r="A20" s="11" t="s">
        <v>31</v>
      </c>
      <c r="B20" s="12" t="s">
        <v>103</v>
      </c>
      <c r="C20" s="13">
        <f>LandGEMOutputs!$F$23</f>
        <v>0</v>
      </c>
      <c r="D20" s="14">
        <f t="shared" si="0"/>
        <v>0</v>
      </c>
    </row>
    <row r="21" spans="1:4" x14ac:dyDescent="0.3">
      <c r="A21" s="7" t="s">
        <v>32</v>
      </c>
      <c r="B21" s="8" t="s">
        <v>104</v>
      </c>
      <c r="C21" s="9">
        <f>LandGEMOutputs!$F$24</f>
        <v>0</v>
      </c>
      <c r="D21" s="10">
        <f t="shared" si="0"/>
        <v>0</v>
      </c>
    </row>
    <row r="22" spans="1:4" x14ac:dyDescent="0.3">
      <c r="A22" s="11" t="s">
        <v>34</v>
      </c>
      <c r="B22" s="12" t="s">
        <v>105</v>
      </c>
      <c r="C22" s="13">
        <f>LandGEMOutputs!$F$26</f>
        <v>0</v>
      </c>
      <c r="D22" s="14">
        <f t="shared" si="0"/>
        <v>0</v>
      </c>
    </row>
    <row r="23" spans="1:4" x14ac:dyDescent="0.3">
      <c r="A23" s="7" t="s">
        <v>35</v>
      </c>
      <c r="B23" s="8" t="s">
        <v>106</v>
      </c>
      <c r="C23" s="9">
        <f>LandGEMOutputs!$F$27</f>
        <v>0</v>
      </c>
      <c r="D23" s="10">
        <f>C23*2000</f>
        <v>0</v>
      </c>
    </row>
    <row r="24" spans="1:4" x14ac:dyDescent="0.3">
      <c r="A24" s="11" t="s">
        <v>164</v>
      </c>
      <c r="B24" s="12" t="s">
        <v>163</v>
      </c>
      <c r="C24" s="13">
        <f>LandGEMOutputs!F28</f>
        <v>0</v>
      </c>
      <c r="D24" s="14">
        <f>C24*2000</f>
        <v>0</v>
      </c>
    </row>
    <row r="25" spans="1:4" x14ac:dyDescent="0.3">
      <c r="A25" s="7" t="s">
        <v>37</v>
      </c>
      <c r="B25" s="8" t="s">
        <v>107</v>
      </c>
      <c r="C25" s="9">
        <f>LandGEMOutputs!$F$29</f>
        <v>0</v>
      </c>
      <c r="D25" s="10">
        <f t="shared" si="0"/>
        <v>0</v>
      </c>
    </row>
    <row r="26" spans="1:4" x14ac:dyDescent="0.3">
      <c r="A26" s="11" t="s">
        <v>40</v>
      </c>
      <c r="B26" s="12" t="s">
        <v>108</v>
      </c>
      <c r="C26" s="13">
        <f>LandGEMOutputs!$F$32</f>
        <v>0</v>
      </c>
      <c r="D26" s="14">
        <f t="shared" si="0"/>
        <v>0</v>
      </c>
    </row>
    <row r="27" spans="1:4" x14ac:dyDescent="0.3">
      <c r="A27" s="7" t="s">
        <v>45</v>
      </c>
      <c r="B27" s="8" t="s">
        <v>109</v>
      </c>
      <c r="C27" s="9">
        <f>LandGEMOutputs!$F$37</f>
        <v>0</v>
      </c>
      <c r="D27" s="10">
        <f t="shared" si="0"/>
        <v>0</v>
      </c>
    </row>
    <row r="28" spans="1:4" x14ac:dyDescent="0.3">
      <c r="A28" s="11" t="s">
        <v>46</v>
      </c>
      <c r="B28" s="12" t="s">
        <v>110</v>
      </c>
      <c r="C28" s="13">
        <f>LandGEMOutputs!$F$38</f>
        <v>0</v>
      </c>
      <c r="D28" s="14">
        <f t="shared" si="0"/>
        <v>0</v>
      </c>
    </row>
    <row r="29" spans="1:4" x14ac:dyDescent="0.3">
      <c r="A29" s="7" t="s">
        <v>48</v>
      </c>
      <c r="B29" s="8" t="s">
        <v>111</v>
      </c>
      <c r="C29" s="9">
        <f>LandGEMOutputs!$F$40</f>
        <v>0</v>
      </c>
      <c r="D29" s="10">
        <f t="shared" si="0"/>
        <v>0</v>
      </c>
    </row>
    <row r="30" spans="1:4" x14ac:dyDescent="0.3">
      <c r="A30" s="11" t="s">
        <v>50</v>
      </c>
      <c r="B30" s="12" t="s">
        <v>112</v>
      </c>
      <c r="C30" s="13">
        <f>LandGEMOutputs!$F$42</f>
        <v>0</v>
      </c>
      <c r="D30" s="14">
        <f t="shared" si="0"/>
        <v>0</v>
      </c>
    </row>
    <row r="31" spans="1:4" x14ac:dyDescent="0.3">
      <c r="A31" s="7" t="s">
        <v>52</v>
      </c>
      <c r="B31" s="8" t="s">
        <v>113</v>
      </c>
      <c r="C31" s="9">
        <f>LandGEMOutputs!$F$44</f>
        <v>0</v>
      </c>
      <c r="D31" s="10">
        <f t="shared" si="0"/>
        <v>0</v>
      </c>
    </row>
    <row r="32" spans="1:4" x14ac:dyDescent="0.3">
      <c r="A32" s="11" t="s">
        <v>55</v>
      </c>
      <c r="B32" s="12" t="s">
        <v>114</v>
      </c>
      <c r="C32" s="13">
        <f>LandGEMOutputs!$F$47</f>
        <v>0</v>
      </c>
      <c r="D32" s="14">
        <f t="shared" si="0"/>
        <v>0</v>
      </c>
    </row>
    <row r="33" spans="1:4" x14ac:dyDescent="0.3">
      <c r="A33" s="7" t="s">
        <v>58</v>
      </c>
      <c r="B33" s="8" t="s">
        <v>118</v>
      </c>
      <c r="C33" s="9">
        <f>IF(UserInputs!$B$9="YES",0,LandGEMOutputs!$F$50)</f>
        <v>0</v>
      </c>
      <c r="D33" s="10">
        <f t="shared" si="0"/>
        <v>0</v>
      </c>
    </row>
    <row r="34" spans="1:4" x14ac:dyDescent="0.3">
      <c r="A34" s="11" t="s">
        <v>59</v>
      </c>
      <c r="B34" s="12" t="s">
        <v>118</v>
      </c>
      <c r="C34" s="13">
        <f>IF(UserInputs!$B$9="YES",LandGEMOutputs!$F$51,0)</f>
        <v>0</v>
      </c>
      <c r="D34" s="14">
        <f t="shared" si="0"/>
        <v>0</v>
      </c>
    </row>
    <row r="35" spans="1:4" x14ac:dyDescent="0.3">
      <c r="A35" s="7" t="s">
        <v>60</v>
      </c>
      <c r="B35" s="8" t="s">
        <v>115</v>
      </c>
      <c r="C35" s="9">
        <f>LandGEMOutputs!$F$52</f>
        <v>0</v>
      </c>
      <c r="D35" s="10">
        <f t="shared" si="0"/>
        <v>0</v>
      </c>
    </row>
    <row r="36" spans="1:4" x14ac:dyDescent="0.3">
      <c r="A36" s="11" t="s">
        <v>61</v>
      </c>
      <c r="B36" s="12" t="s">
        <v>116</v>
      </c>
      <c r="C36" s="13">
        <f>LandGEMOutputs!$F$53</f>
        <v>0</v>
      </c>
      <c r="D36" s="14">
        <f t="shared" si="0"/>
        <v>0</v>
      </c>
    </row>
    <row r="37" spans="1:4" ht="15" thickBot="1" x14ac:dyDescent="0.35">
      <c r="A37" s="7" t="s">
        <v>62</v>
      </c>
      <c r="B37" s="8" t="s">
        <v>117</v>
      </c>
      <c r="C37" s="9">
        <f>LandGEMOutputs!$F$54</f>
        <v>0</v>
      </c>
      <c r="D37" s="10">
        <f t="shared" si="0"/>
        <v>0</v>
      </c>
    </row>
    <row r="38" spans="1:4" ht="15" thickBot="1" x14ac:dyDescent="0.35">
      <c r="A38" s="125" t="s">
        <v>67</v>
      </c>
      <c r="B38" s="126"/>
      <c r="C38" s="15">
        <f>ROUND(SUM(C9:C37),4)</f>
        <v>0</v>
      </c>
      <c r="D38" s="16">
        <f>ROUND(SUM(D9:D37),4)</f>
        <v>0</v>
      </c>
    </row>
  </sheetData>
  <sheetProtection algorithmName="SHA-512" hashValue="VATH+Fv8O9SpAhF3feBCg0OBHuAYD0g9lyaOLOkVL7ToXrmi7qPhz2sYK9zmmdVl8uYfgzdArBMO5/4VbD4fLw==" saltValue="0dfAVsKJfAQiGDPDSZsF7w==" spinCount="100000" sheet="1" objects="1" scenarios="1"/>
  <mergeCells count="15">
    <mergeCell ref="A3:B3"/>
    <mergeCell ref="C3:D3"/>
    <mergeCell ref="A4:B4"/>
    <mergeCell ref="C4:D4"/>
    <mergeCell ref="A1:D1"/>
    <mergeCell ref="A2:B2"/>
    <mergeCell ref="C2:D2"/>
    <mergeCell ref="A38:B38"/>
    <mergeCell ref="A7:A8"/>
    <mergeCell ref="B7:B8"/>
    <mergeCell ref="C7:D7"/>
    <mergeCell ref="A5:B5"/>
    <mergeCell ref="C5:D5"/>
    <mergeCell ref="A6:B6"/>
    <mergeCell ref="C6:D6"/>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672E5-7AF3-4CFA-AD74-6AED2CCF8130}">
  <sheetPr>
    <tabColor theme="5" tint="0.39997558519241921"/>
  </sheetPr>
  <dimension ref="A1:I50"/>
  <sheetViews>
    <sheetView zoomScale="86" zoomScaleNormal="86" workbookViewId="0">
      <selection sqref="A1:D1"/>
    </sheetView>
  </sheetViews>
  <sheetFormatPr defaultRowHeight="14.4" x14ac:dyDescent="0.3"/>
  <cols>
    <col min="1" max="1" width="54" customWidth="1"/>
    <col min="2" max="2" width="17.109375" customWidth="1"/>
    <col min="3" max="3" width="17" style="1" customWidth="1"/>
    <col min="4" max="4" width="17" customWidth="1"/>
    <col min="5" max="5" width="2.33203125" customWidth="1"/>
    <col min="6" max="6" width="46.88671875" bestFit="1" customWidth="1"/>
    <col min="7" max="7" width="17.109375" customWidth="1"/>
    <col min="8" max="9" width="17" customWidth="1"/>
  </cols>
  <sheetData>
    <row r="1" spans="1:9" ht="15" thickBot="1" x14ac:dyDescent="0.35">
      <c r="A1" s="147" t="s">
        <v>79</v>
      </c>
      <c r="B1" s="148"/>
      <c r="C1" s="148"/>
      <c r="D1" s="149"/>
      <c r="F1" s="159" t="s">
        <v>81</v>
      </c>
      <c r="G1" s="160"/>
      <c r="H1" s="160"/>
      <c r="I1" s="161"/>
    </row>
    <row r="2" spans="1:9" x14ac:dyDescent="0.3">
      <c r="A2" s="150" t="s">
        <v>80</v>
      </c>
      <c r="B2" s="151"/>
      <c r="C2" s="152">
        <f>ROUND(LandGEMOutputs!D3*525600/1000000*(1-UserInputs!B15),4)</f>
        <v>0</v>
      </c>
      <c r="D2" s="153"/>
      <c r="F2" s="162" t="s">
        <v>82</v>
      </c>
      <c r="G2" s="163"/>
      <c r="H2" s="164">
        <f>ROUND(UserInputs!B10*60*UserInputs!B11/1000000,4)</f>
        <v>0</v>
      </c>
      <c r="I2" s="165"/>
    </row>
    <row r="3" spans="1:9" ht="15.6" x14ac:dyDescent="0.35">
      <c r="A3" s="133" t="s">
        <v>76</v>
      </c>
      <c r="B3" s="134"/>
      <c r="C3" s="141">
        <f>ROUND(SUM(C9+C26+C30+C32),4)</f>
        <v>0</v>
      </c>
      <c r="D3" s="142"/>
      <c r="F3" s="133" t="s">
        <v>84</v>
      </c>
      <c r="G3" s="134"/>
      <c r="H3" s="141">
        <f>ROUND((UserInputs!B13/1000000)*(64/385.4)*UserInputs!B10*60*UserInputs!B11/2000,4)</f>
        <v>0</v>
      </c>
      <c r="I3" s="142"/>
    </row>
    <row r="4" spans="1:9" ht="15.6" x14ac:dyDescent="0.35">
      <c r="A4" s="143" t="s">
        <v>75</v>
      </c>
      <c r="B4" s="144"/>
      <c r="C4" s="145">
        <f>ROUND(LandGEMOutputs!F6*(1-UserInputs!B15),4)</f>
        <v>0</v>
      </c>
      <c r="D4" s="146"/>
      <c r="F4" s="143" t="s">
        <v>85</v>
      </c>
      <c r="G4" s="144"/>
      <c r="H4" s="155">
        <f>ROUND(H2*38*UserInputs!B8/2000,4)</f>
        <v>0</v>
      </c>
      <c r="I4" s="156"/>
    </row>
    <row r="5" spans="1:9" x14ac:dyDescent="0.3">
      <c r="A5" s="133" t="s">
        <v>78</v>
      </c>
      <c r="B5" s="134"/>
      <c r="C5" s="135" t="e">
        <f>ROUND(C3*2000/C2,4)</f>
        <v>#DIV/0!</v>
      </c>
      <c r="D5" s="136"/>
      <c r="F5" s="133" t="s">
        <v>75</v>
      </c>
      <c r="G5" s="134"/>
      <c r="H5" s="141">
        <f>ROUND((UserInputs!B12/1000000)*(86/385.4)*(UserInputs!B10*60)*(UserInputs!B11/2000)*(1-UserInputs!B14),4)</f>
        <v>0</v>
      </c>
      <c r="I5" s="142"/>
    </row>
    <row r="6" spans="1:9" ht="15" thickBot="1" x14ac:dyDescent="0.35">
      <c r="A6" s="137" t="s">
        <v>77</v>
      </c>
      <c r="B6" s="138"/>
      <c r="C6" s="139" t="e">
        <f>ROUND(C4*2000/C2,4)</f>
        <v>#DIV/0!</v>
      </c>
      <c r="D6" s="140"/>
      <c r="F6" s="143" t="s">
        <v>86</v>
      </c>
      <c r="G6" s="144"/>
      <c r="H6" s="155">
        <f>H2*58*UserInputs!B8/2000</f>
        <v>0</v>
      </c>
      <c r="I6" s="156"/>
    </row>
    <row r="7" spans="1:9" ht="15.6" x14ac:dyDescent="0.35">
      <c r="A7" s="127" t="s">
        <v>8</v>
      </c>
      <c r="B7" s="129" t="s">
        <v>74</v>
      </c>
      <c r="C7" s="131" t="s">
        <v>9</v>
      </c>
      <c r="D7" s="132"/>
      <c r="F7" s="133" t="s">
        <v>83</v>
      </c>
      <c r="G7" s="134"/>
      <c r="H7" s="141">
        <f>ROUND(H2*17*UserInputs!B8/2000,4)</f>
        <v>0</v>
      </c>
      <c r="I7" s="142"/>
    </row>
    <row r="8" spans="1:9" x14ac:dyDescent="0.3">
      <c r="A8" s="128"/>
      <c r="B8" s="130"/>
      <c r="C8" s="17" t="s">
        <v>10</v>
      </c>
      <c r="D8" s="18" t="s">
        <v>66</v>
      </c>
      <c r="F8" s="143" t="s">
        <v>76</v>
      </c>
      <c r="G8" s="144"/>
      <c r="H8" s="155" t="e">
        <f>(H2*H14)/2000</f>
        <v>#DIV/0!</v>
      </c>
      <c r="I8" s="156"/>
    </row>
    <row r="9" spans="1:9" ht="15.6" x14ac:dyDescent="0.35">
      <c r="A9" s="7" t="s">
        <v>15</v>
      </c>
      <c r="B9" s="8" t="s">
        <v>94</v>
      </c>
      <c r="C9" s="9">
        <f>LandGEMOutputs!$F$7*(1-UserInputs!$B$15)</f>
        <v>0</v>
      </c>
      <c r="D9" s="10">
        <f>C9*2000</f>
        <v>0</v>
      </c>
      <c r="F9" s="133" t="s">
        <v>88</v>
      </c>
      <c r="G9" s="134"/>
      <c r="H9" s="141" t="e">
        <f>ROUND(H3*2000/$H$2,4)</f>
        <v>#DIV/0!</v>
      </c>
      <c r="I9" s="142"/>
    </row>
    <row r="10" spans="1:9" ht="15.6" x14ac:dyDescent="0.35">
      <c r="A10" s="11" t="s">
        <v>16</v>
      </c>
      <c r="B10" s="12" t="s">
        <v>95</v>
      </c>
      <c r="C10" s="13">
        <f>LandGEMOutputs!$F$8*(1-UserInputs!$B$15)</f>
        <v>0</v>
      </c>
      <c r="D10" s="14">
        <f t="shared" ref="D10:D37" si="0">C10*2000</f>
        <v>0</v>
      </c>
      <c r="F10" s="143" t="s">
        <v>89</v>
      </c>
      <c r="G10" s="144"/>
      <c r="H10" s="155" t="e">
        <f>ROUND(H4*2000/$H$2,4)</f>
        <v>#DIV/0!</v>
      </c>
      <c r="I10" s="156"/>
    </row>
    <row r="11" spans="1:9" x14ac:dyDescent="0.3">
      <c r="A11" s="7" t="s">
        <v>17</v>
      </c>
      <c r="B11" s="8" t="s">
        <v>96</v>
      </c>
      <c r="C11" s="9">
        <f>LandGEMOutputs!$F$9*(1-UserInputs!$B$15)</f>
        <v>0</v>
      </c>
      <c r="D11" s="10">
        <f t="shared" si="0"/>
        <v>0</v>
      </c>
      <c r="F11" s="133" t="s">
        <v>77</v>
      </c>
      <c r="G11" s="134"/>
      <c r="H11" s="141" t="e">
        <f>ROUND(H5*2000/$H$2,4)</f>
        <v>#DIV/0!</v>
      </c>
      <c r="I11" s="142"/>
    </row>
    <row r="12" spans="1:9" x14ac:dyDescent="0.3">
      <c r="A12" s="11" t="s">
        <v>18</v>
      </c>
      <c r="B12" s="12" t="s">
        <v>97</v>
      </c>
      <c r="C12" s="13">
        <f>LandGEMOutputs!$F$10*(1-UserInputs!$B$15)</f>
        <v>0</v>
      </c>
      <c r="D12" s="14">
        <f t="shared" si="0"/>
        <v>0</v>
      </c>
      <c r="F12" s="143" t="s">
        <v>87</v>
      </c>
      <c r="G12" s="144"/>
      <c r="H12" s="155" t="e">
        <f>ROUND(H6*2000/$H$2,4)</f>
        <v>#DIV/0!</v>
      </c>
      <c r="I12" s="156"/>
    </row>
    <row r="13" spans="1:9" ht="15.6" x14ac:dyDescent="0.35">
      <c r="A13" s="7" t="s">
        <v>19</v>
      </c>
      <c r="B13" s="8" t="s">
        <v>98</v>
      </c>
      <c r="C13" s="9">
        <f>LandGEMOutputs!$F$11*(1-UserInputs!$B$15)</f>
        <v>0</v>
      </c>
      <c r="D13" s="10">
        <f t="shared" si="0"/>
        <v>0</v>
      </c>
      <c r="F13" s="133" t="s">
        <v>90</v>
      </c>
      <c r="G13" s="134"/>
      <c r="H13" s="141" t="e">
        <f>ROUND(H7*2000/$H$2,4)</f>
        <v>#DIV/0!</v>
      </c>
      <c r="I13" s="142"/>
    </row>
    <row r="14" spans="1:9" ht="15" thickBot="1" x14ac:dyDescent="0.35">
      <c r="A14" s="11" t="s">
        <v>20</v>
      </c>
      <c r="B14" s="12" t="s">
        <v>99</v>
      </c>
      <c r="C14" s="13">
        <f>LandGEMOutputs!$F$12*(1-UserInputs!$B$15)</f>
        <v>0</v>
      </c>
      <c r="D14" s="14">
        <f t="shared" si="0"/>
        <v>0</v>
      </c>
      <c r="F14" s="137" t="s">
        <v>78</v>
      </c>
      <c r="G14" s="138"/>
      <c r="H14" s="157" t="e">
        <f>SUM(I17+I34+I38+I40+I46)/H2</f>
        <v>#DIV/0!</v>
      </c>
      <c r="I14" s="158"/>
    </row>
    <row r="15" spans="1:9" x14ac:dyDescent="0.3">
      <c r="A15" s="7" t="s">
        <v>23</v>
      </c>
      <c r="B15" s="8" t="s">
        <v>100</v>
      </c>
      <c r="C15" s="9">
        <f>LandGEMOutputs!$F$15*(1-UserInputs!$B$15)</f>
        <v>0</v>
      </c>
      <c r="D15" s="10">
        <f t="shared" si="0"/>
        <v>0</v>
      </c>
      <c r="F15" s="127" t="s">
        <v>8</v>
      </c>
      <c r="G15" s="129" t="s">
        <v>74</v>
      </c>
      <c r="H15" s="131" t="s">
        <v>9</v>
      </c>
      <c r="I15" s="132"/>
    </row>
    <row r="16" spans="1:9" x14ac:dyDescent="0.3">
      <c r="A16" s="11" t="s">
        <v>24</v>
      </c>
      <c r="B16" s="12" t="s">
        <v>119</v>
      </c>
      <c r="C16" s="13">
        <f>IF(UserInputs!$B$9="YES",0,LandGEMOutputs!$F$16)*(1-UserInputs!$B$15)</f>
        <v>0</v>
      </c>
      <c r="D16" s="14">
        <f t="shared" si="0"/>
        <v>0</v>
      </c>
      <c r="F16" s="128"/>
      <c r="G16" s="130"/>
      <c r="H16" s="17" t="s">
        <v>10</v>
      </c>
      <c r="I16" s="18" t="s">
        <v>66</v>
      </c>
    </row>
    <row r="17" spans="1:9" x14ac:dyDescent="0.3">
      <c r="A17" s="7" t="s">
        <v>25</v>
      </c>
      <c r="B17" s="8" t="s">
        <v>119</v>
      </c>
      <c r="C17" s="9">
        <f>IF(UserInputs!$B$9="YES",LandGEMOutputs!$F$17, 0)*(1-UserInputs!$B$15)</f>
        <v>0</v>
      </c>
      <c r="D17" s="10">
        <f t="shared" si="0"/>
        <v>0</v>
      </c>
      <c r="F17" s="110" t="s">
        <v>181</v>
      </c>
      <c r="G17" s="8" t="s">
        <v>94</v>
      </c>
      <c r="H17" s="9">
        <f>LandGEMOutputs!$F$7*UserInputs!B15</f>
        <v>0</v>
      </c>
      <c r="I17" s="10">
        <f>H17*2000*(1-UserInputs!B14)</f>
        <v>0</v>
      </c>
    </row>
    <row r="18" spans="1:9" x14ac:dyDescent="0.3">
      <c r="A18" s="11" t="s">
        <v>28</v>
      </c>
      <c r="B18" s="12" t="s">
        <v>101</v>
      </c>
      <c r="C18" s="13">
        <f>LandGEMOutputs!$F$20*(1-UserInputs!$B$15)</f>
        <v>0</v>
      </c>
      <c r="D18" s="14">
        <f t="shared" si="0"/>
        <v>0</v>
      </c>
      <c r="F18" s="11" t="s">
        <v>16</v>
      </c>
      <c r="G18" s="12" t="s">
        <v>95</v>
      </c>
      <c r="H18" s="13">
        <f>LandGEMOutputs!$F$8*UserInputs!B15</f>
        <v>0</v>
      </c>
      <c r="I18" s="14">
        <f t="shared" ref="I18:I45" si="1">H18*2000</f>
        <v>0</v>
      </c>
    </row>
    <row r="19" spans="1:9" x14ac:dyDescent="0.3">
      <c r="A19" s="7" t="s">
        <v>30</v>
      </c>
      <c r="B19" s="8" t="s">
        <v>102</v>
      </c>
      <c r="C19" s="9">
        <f>LandGEMOutputs!$F$22*(1-UserInputs!$B$15)</f>
        <v>0</v>
      </c>
      <c r="D19" s="10">
        <f t="shared" si="0"/>
        <v>0</v>
      </c>
      <c r="F19" s="7" t="s">
        <v>17</v>
      </c>
      <c r="G19" s="8" t="s">
        <v>96</v>
      </c>
      <c r="H19" s="9">
        <f>LandGEMOutputs!$F$9*UserInputs!B15</f>
        <v>0</v>
      </c>
      <c r="I19" s="10">
        <f t="shared" si="1"/>
        <v>0</v>
      </c>
    </row>
    <row r="20" spans="1:9" x14ac:dyDescent="0.3">
      <c r="A20" s="11" t="s">
        <v>31</v>
      </c>
      <c r="B20" s="12" t="s">
        <v>103</v>
      </c>
      <c r="C20" s="13">
        <f>LandGEMOutputs!$F$23*(1-UserInputs!$B$15)</f>
        <v>0</v>
      </c>
      <c r="D20" s="14">
        <f t="shared" si="0"/>
        <v>0</v>
      </c>
      <c r="F20" s="11" t="s">
        <v>18</v>
      </c>
      <c r="G20" s="12" t="s">
        <v>97</v>
      </c>
      <c r="H20" s="13">
        <f>LandGEMOutputs!$F$10*UserInputs!B15</f>
        <v>0</v>
      </c>
      <c r="I20" s="14">
        <f t="shared" si="1"/>
        <v>0</v>
      </c>
    </row>
    <row r="21" spans="1:9" x14ac:dyDescent="0.3">
      <c r="A21" s="7" t="s">
        <v>32</v>
      </c>
      <c r="B21" s="8" t="s">
        <v>104</v>
      </c>
      <c r="C21" s="9">
        <f>LandGEMOutputs!$F$24*(1-UserInputs!$B$15)</f>
        <v>0</v>
      </c>
      <c r="D21" s="10">
        <f>C21*2000</f>
        <v>0</v>
      </c>
      <c r="F21" s="7" t="s">
        <v>19</v>
      </c>
      <c r="G21" s="8" t="s">
        <v>98</v>
      </c>
      <c r="H21" s="9">
        <f>LandGEMOutputs!$F$11*UserInputs!B15</f>
        <v>0</v>
      </c>
      <c r="I21" s="10">
        <f t="shared" si="1"/>
        <v>0</v>
      </c>
    </row>
    <row r="22" spans="1:9" x14ac:dyDescent="0.3">
      <c r="A22" s="11" t="s">
        <v>34</v>
      </c>
      <c r="B22" s="12" t="s">
        <v>105</v>
      </c>
      <c r="C22" s="13">
        <f>LandGEMOutputs!$F$26*(1-UserInputs!$B$15)</f>
        <v>0</v>
      </c>
      <c r="D22" s="14">
        <f t="shared" si="0"/>
        <v>0</v>
      </c>
      <c r="F22" s="11" t="s">
        <v>20</v>
      </c>
      <c r="G22" s="12" t="s">
        <v>99</v>
      </c>
      <c r="H22" s="13">
        <f>LandGEMOutputs!$F$12*UserInputs!B15</f>
        <v>0</v>
      </c>
      <c r="I22" s="14">
        <f t="shared" si="1"/>
        <v>0</v>
      </c>
    </row>
    <row r="23" spans="1:9" x14ac:dyDescent="0.3">
      <c r="A23" s="7" t="s">
        <v>35</v>
      </c>
      <c r="B23" s="8" t="s">
        <v>106</v>
      </c>
      <c r="C23" s="9">
        <f>LandGEMOutputs!$F$27*(1-UserInputs!$B$15)</f>
        <v>0</v>
      </c>
      <c r="D23" s="10">
        <f t="shared" si="0"/>
        <v>0</v>
      </c>
      <c r="F23" s="7" t="s">
        <v>23</v>
      </c>
      <c r="G23" s="8" t="s">
        <v>100</v>
      </c>
      <c r="H23" s="9">
        <f>LandGEMOutputs!$F$15*UserInputs!B15</f>
        <v>0</v>
      </c>
      <c r="I23" s="10">
        <f t="shared" si="1"/>
        <v>0</v>
      </c>
    </row>
    <row r="24" spans="1:9" x14ac:dyDescent="0.3">
      <c r="A24" s="11" t="s">
        <v>162</v>
      </c>
      <c r="B24" s="12" t="s">
        <v>163</v>
      </c>
      <c r="C24" s="13">
        <f>LandGEMOutputs!F28*(1-UserInputs!B15)</f>
        <v>0</v>
      </c>
      <c r="D24" s="14">
        <f>C24*2000</f>
        <v>0</v>
      </c>
      <c r="F24" s="11" t="s">
        <v>24</v>
      </c>
      <c r="G24" s="12" t="s">
        <v>119</v>
      </c>
      <c r="H24" s="13">
        <f>IF(UserInputs!$B$9="YES",0,LandGEMOutputs!$F$16)*UserInputs!B15</f>
        <v>0</v>
      </c>
      <c r="I24" s="14">
        <f t="shared" si="1"/>
        <v>0</v>
      </c>
    </row>
    <row r="25" spans="1:9" x14ac:dyDescent="0.3">
      <c r="A25" s="7" t="s">
        <v>37</v>
      </c>
      <c r="B25" s="8" t="s">
        <v>107</v>
      </c>
      <c r="C25" s="9">
        <f>LandGEMOutputs!$F$29*(1-UserInputs!$B$15)</f>
        <v>0</v>
      </c>
      <c r="D25" s="10">
        <f t="shared" si="0"/>
        <v>0</v>
      </c>
      <c r="F25" s="7" t="s">
        <v>25</v>
      </c>
      <c r="G25" s="8" t="s">
        <v>119</v>
      </c>
      <c r="H25" s="9">
        <f>IF(UserInputs!$B$9="YES",LandGEMOutputs!$F$17,0)*UserInputs!B15</f>
        <v>0</v>
      </c>
      <c r="I25" s="10">
        <f t="shared" si="1"/>
        <v>0</v>
      </c>
    </row>
    <row r="26" spans="1:9" x14ac:dyDescent="0.3">
      <c r="A26" s="11" t="s">
        <v>40</v>
      </c>
      <c r="B26" s="12" t="s">
        <v>108</v>
      </c>
      <c r="C26" s="13">
        <f>LandGEMOutputs!$F$32*(1-UserInputs!$B$15)</f>
        <v>0</v>
      </c>
      <c r="D26" s="14">
        <f t="shared" si="0"/>
        <v>0</v>
      </c>
      <c r="F26" s="11" t="s">
        <v>28</v>
      </c>
      <c r="G26" s="12" t="s">
        <v>101</v>
      </c>
      <c r="H26" s="13">
        <f>LandGEMOutputs!$F$20*UserInputs!B15</f>
        <v>0</v>
      </c>
      <c r="I26" s="14">
        <f t="shared" si="1"/>
        <v>0</v>
      </c>
    </row>
    <row r="27" spans="1:9" x14ac:dyDescent="0.3">
      <c r="A27" s="7" t="s">
        <v>45</v>
      </c>
      <c r="B27" s="8" t="s">
        <v>109</v>
      </c>
      <c r="C27" s="9">
        <f>LandGEMOutputs!$F$37*(1-UserInputs!$B$15)</f>
        <v>0</v>
      </c>
      <c r="D27" s="10">
        <f t="shared" si="0"/>
        <v>0</v>
      </c>
      <c r="F27" s="7" t="s">
        <v>30</v>
      </c>
      <c r="G27" s="8" t="s">
        <v>102</v>
      </c>
      <c r="H27" s="9">
        <f>LandGEMOutputs!$F$22*UserInputs!B15</f>
        <v>0</v>
      </c>
      <c r="I27" s="10">
        <f t="shared" si="1"/>
        <v>0</v>
      </c>
    </row>
    <row r="28" spans="1:9" x14ac:dyDescent="0.3">
      <c r="A28" s="11" t="s">
        <v>46</v>
      </c>
      <c r="B28" s="12" t="s">
        <v>110</v>
      </c>
      <c r="C28" s="13">
        <f>LandGEMOutputs!$F$38*(1-UserInputs!$B$15)</f>
        <v>0</v>
      </c>
      <c r="D28" s="14">
        <f t="shared" si="0"/>
        <v>0</v>
      </c>
      <c r="F28" s="11" t="s">
        <v>31</v>
      </c>
      <c r="G28" s="12" t="s">
        <v>103</v>
      </c>
      <c r="H28" s="13">
        <f>LandGEMOutputs!$F$23*UserInputs!B15</f>
        <v>0</v>
      </c>
      <c r="I28" s="14">
        <f t="shared" si="1"/>
        <v>0</v>
      </c>
    </row>
    <row r="29" spans="1:9" x14ac:dyDescent="0.3">
      <c r="A29" s="7" t="s">
        <v>48</v>
      </c>
      <c r="B29" s="8" t="s">
        <v>111</v>
      </c>
      <c r="C29" s="9">
        <f>LandGEMOutputs!$F$40*(1-UserInputs!$B$15)</f>
        <v>0</v>
      </c>
      <c r="D29" s="10">
        <f t="shared" si="0"/>
        <v>0</v>
      </c>
      <c r="F29" s="7" t="s">
        <v>32</v>
      </c>
      <c r="G29" s="8" t="s">
        <v>104</v>
      </c>
      <c r="H29" s="9">
        <f>LandGEMOutputs!$F$24*UserInputs!B15</f>
        <v>0</v>
      </c>
      <c r="I29" s="10">
        <f t="shared" si="1"/>
        <v>0</v>
      </c>
    </row>
    <row r="30" spans="1:9" x14ac:dyDescent="0.3">
      <c r="A30" s="11" t="s">
        <v>50</v>
      </c>
      <c r="B30" s="12" t="s">
        <v>112</v>
      </c>
      <c r="C30" s="13">
        <f>LandGEMOutputs!$F$42*(1-UserInputs!$B$15)</f>
        <v>0</v>
      </c>
      <c r="D30" s="14">
        <f t="shared" si="0"/>
        <v>0</v>
      </c>
      <c r="F30" s="11" t="s">
        <v>34</v>
      </c>
      <c r="G30" s="12" t="s">
        <v>105</v>
      </c>
      <c r="H30" s="13">
        <f>LandGEMOutputs!$F$26*UserInputs!B15</f>
        <v>0</v>
      </c>
      <c r="I30" s="14">
        <f t="shared" si="1"/>
        <v>0</v>
      </c>
    </row>
    <row r="31" spans="1:9" x14ac:dyDescent="0.3">
      <c r="A31" s="7" t="s">
        <v>52</v>
      </c>
      <c r="B31" s="8" t="s">
        <v>113</v>
      </c>
      <c r="C31" s="9">
        <f>LandGEMOutputs!$F$44*(1-UserInputs!$B$15)</f>
        <v>0</v>
      </c>
      <c r="D31" s="10">
        <f t="shared" si="0"/>
        <v>0</v>
      </c>
      <c r="F31" s="7" t="s">
        <v>35</v>
      </c>
      <c r="G31" s="8" t="s">
        <v>106</v>
      </c>
      <c r="H31" s="9">
        <f>LandGEMOutputs!$F$27*UserInputs!B15</f>
        <v>0</v>
      </c>
      <c r="I31" s="10">
        <f t="shared" si="1"/>
        <v>0</v>
      </c>
    </row>
    <row r="32" spans="1:9" x14ac:dyDescent="0.3">
      <c r="A32" s="11" t="s">
        <v>55</v>
      </c>
      <c r="B32" s="12" t="s">
        <v>114</v>
      </c>
      <c r="C32" s="13">
        <f>LandGEMOutputs!$F$47*(1-UserInputs!$B$15)</f>
        <v>0</v>
      </c>
      <c r="D32" s="14">
        <f t="shared" si="0"/>
        <v>0</v>
      </c>
      <c r="F32" s="11" t="s">
        <v>36</v>
      </c>
      <c r="G32" s="12" t="s">
        <v>163</v>
      </c>
      <c r="H32" s="13">
        <f>LandGEMOutputs!F28*UserInputs!B15</f>
        <v>0</v>
      </c>
      <c r="I32" s="14">
        <f>H32*2000</f>
        <v>0</v>
      </c>
    </row>
    <row r="33" spans="1:9" x14ac:dyDescent="0.3">
      <c r="A33" s="7" t="s">
        <v>58</v>
      </c>
      <c r="B33" s="8" t="s">
        <v>118</v>
      </c>
      <c r="C33" s="9">
        <f>IF(UserInputs!$B$9="YES",0,LandGEMOutputs!$F$50)*(1-UserInputs!$B$15)</f>
        <v>0</v>
      </c>
      <c r="D33" s="10">
        <f t="shared" si="0"/>
        <v>0</v>
      </c>
      <c r="F33" s="7" t="s">
        <v>37</v>
      </c>
      <c r="G33" s="8" t="s">
        <v>107</v>
      </c>
      <c r="H33" s="9">
        <f>LandGEMOutputs!$F$29*UserInputs!B15</f>
        <v>0</v>
      </c>
      <c r="I33" s="10">
        <f t="shared" si="1"/>
        <v>0</v>
      </c>
    </row>
    <row r="34" spans="1:9" x14ac:dyDescent="0.3">
      <c r="A34" s="11" t="s">
        <v>59</v>
      </c>
      <c r="B34" s="12" t="s">
        <v>118</v>
      </c>
      <c r="C34" s="13">
        <f>IF(UserInputs!$B$9="YES",LandGEMOutputs!$F$51,0)*(1-UserInputs!$B$15)</f>
        <v>0</v>
      </c>
      <c r="D34" s="14">
        <f t="shared" si="0"/>
        <v>0</v>
      </c>
      <c r="F34" s="110" t="s">
        <v>182</v>
      </c>
      <c r="G34" s="12" t="s">
        <v>108</v>
      </c>
      <c r="H34" s="13">
        <f>LandGEMOutputs!$F$32*UserInputs!B15</f>
        <v>0</v>
      </c>
      <c r="I34" s="14">
        <f>H34*2000*(1-UserInputs!B14)</f>
        <v>0</v>
      </c>
    </row>
    <row r="35" spans="1:9" x14ac:dyDescent="0.3">
      <c r="A35" s="7" t="s">
        <v>60</v>
      </c>
      <c r="B35" s="8" t="s">
        <v>115</v>
      </c>
      <c r="C35" s="9">
        <f>LandGEMOutputs!$F$52*(1-UserInputs!$B$15)</f>
        <v>0</v>
      </c>
      <c r="D35" s="10">
        <f t="shared" si="0"/>
        <v>0</v>
      </c>
      <c r="F35" s="7" t="s">
        <v>45</v>
      </c>
      <c r="G35" s="8" t="s">
        <v>109</v>
      </c>
      <c r="H35" s="9">
        <f>LandGEMOutputs!$F$37*UserInputs!B15</f>
        <v>0</v>
      </c>
      <c r="I35" s="10">
        <f t="shared" si="1"/>
        <v>0</v>
      </c>
    </row>
    <row r="36" spans="1:9" x14ac:dyDescent="0.3">
      <c r="A36" s="11" t="s">
        <v>61</v>
      </c>
      <c r="B36" s="12" t="s">
        <v>116</v>
      </c>
      <c r="C36" s="13">
        <f>LandGEMOutputs!$F$53*(1-UserInputs!$B$15)</f>
        <v>0</v>
      </c>
      <c r="D36" s="14">
        <f t="shared" si="0"/>
        <v>0</v>
      </c>
      <c r="F36" s="11" t="s">
        <v>46</v>
      </c>
      <c r="G36" s="12" t="s">
        <v>110</v>
      </c>
      <c r="H36" s="13">
        <f>LandGEMOutputs!$F$38*UserInputs!B15</f>
        <v>0</v>
      </c>
      <c r="I36" s="14">
        <f t="shared" si="1"/>
        <v>0</v>
      </c>
    </row>
    <row r="37" spans="1:9" x14ac:dyDescent="0.3">
      <c r="A37" s="7" t="s">
        <v>62</v>
      </c>
      <c r="B37" s="8" t="s">
        <v>117</v>
      </c>
      <c r="C37" s="9">
        <f>LandGEMOutputs!$F$54*(1-UserInputs!$B$15)</f>
        <v>0</v>
      </c>
      <c r="D37" s="10">
        <f t="shared" si="0"/>
        <v>0</v>
      </c>
      <c r="F37" s="7" t="s">
        <v>48</v>
      </c>
      <c r="G37" s="8" t="s">
        <v>111</v>
      </c>
      <c r="H37" s="9">
        <f>LandGEMOutputs!$F$40*UserInputs!B15</f>
        <v>0</v>
      </c>
      <c r="I37" s="10">
        <f t="shared" si="1"/>
        <v>0</v>
      </c>
    </row>
    <row r="38" spans="1:9" x14ac:dyDescent="0.3">
      <c r="A38" s="65"/>
      <c r="B38" s="65" t="s">
        <v>138</v>
      </c>
      <c r="C38" s="66">
        <f>ROUND(SUM(C9:C37),4)</f>
        <v>0</v>
      </c>
      <c r="D38" s="66">
        <f>ROUND(SUM(D9:D37),4)</f>
        <v>0</v>
      </c>
      <c r="F38" s="107" t="s">
        <v>183</v>
      </c>
      <c r="G38" s="12" t="s">
        <v>112</v>
      </c>
      <c r="H38" s="13">
        <f>LandGEMOutputs!$F$42*UserInputs!B15</f>
        <v>0</v>
      </c>
      <c r="I38" s="14">
        <f t="shared" si="1"/>
        <v>0</v>
      </c>
    </row>
    <row r="39" spans="1:9" x14ac:dyDescent="0.3">
      <c r="A39" s="154"/>
      <c r="B39" s="154"/>
      <c r="C39" s="67"/>
      <c r="D39" s="67"/>
      <c r="F39" s="7" t="s">
        <v>52</v>
      </c>
      <c r="G39" s="8" t="s">
        <v>113</v>
      </c>
      <c r="H39" s="9">
        <f>LandGEMOutputs!$F$44*UserInputs!B15</f>
        <v>0</v>
      </c>
      <c r="I39" s="10">
        <f t="shared" si="1"/>
        <v>0</v>
      </c>
    </row>
    <row r="40" spans="1:9" x14ac:dyDescent="0.3">
      <c r="F40" s="110" t="s">
        <v>184</v>
      </c>
      <c r="G40" s="12" t="s">
        <v>114</v>
      </c>
      <c r="H40" s="13">
        <f>LandGEMOutputs!$F$47*UserInputs!B15</f>
        <v>0</v>
      </c>
      <c r="I40" s="14">
        <f>H40*2000*(1-UserInputs!B14)</f>
        <v>0</v>
      </c>
    </row>
    <row r="41" spans="1:9" x14ac:dyDescent="0.3">
      <c r="F41" s="7" t="s">
        <v>58</v>
      </c>
      <c r="G41" s="8" t="s">
        <v>118</v>
      </c>
      <c r="H41" s="9">
        <f>IF(UserInputs!$B$9="YES",0,LandGEMOutputs!$F$50)*UserInputs!B15</f>
        <v>0</v>
      </c>
      <c r="I41" s="10">
        <f t="shared" si="1"/>
        <v>0</v>
      </c>
    </row>
    <row r="42" spans="1:9" x14ac:dyDescent="0.3">
      <c r="F42" s="11" t="s">
        <v>59</v>
      </c>
      <c r="G42" s="12" t="s">
        <v>118</v>
      </c>
      <c r="H42" s="13">
        <f>IF(UserInputs!$B$9="YES",LandGEMOutputs!$F$51,0)*UserInputs!B15</f>
        <v>0</v>
      </c>
      <c r="I42" s="14">
        <f t="shared" si="1"/>
        <v>0</v>
      </c>
    </row>
    <row r="43" spans="1:9" x14ac:dyDescent="0.3">
      <c r="F43" s="7" t="s">
        <v>60</v>
      </c>
      <c r="G43" s="8" t="s">
        <v>115</v>
      </c>
      <c r="H43" s="9">
        <f>LandGEMOutputs!$F$52*UserInputs!B15</f>
        <v>0</v>
      </c>
      <c r="I43" s="10">
        <f t="shared" si="1"/>
        <v>0</v>
      </c>
    </row>
    <row r="44" spans="1:9" x14ac:dyDescent="0.3">
      <c r="F44" s="11" t="s">
        <v>61</v>
      </c>
      <c r="G44" s="12" t="s">
        <v>116</v>
      </c>
      <c r="H44" s="13">
        <f>LandGEMOutputs!$F$53*UserInputs!B15</f>
        <v>0</v>
      </c>
      <c r="I44" s="14">
        <f t="shared" si="1"/>
        <v>0</v>
      </c>
    </row>
    <row r="45" spans="1:9" x14ac:dyDescent="0.3">
      <c r="F45" s="7" t="s">
        <v>62</v>
      </c>
      <c r="G45" s="8" t="s">
        <v>117</v>
      </c>
      <c r="H45" s="9">
        <f>LandGEMOutputs!$F$54*UserInputs!B15</f>
        <v>0</v>
      </c>
      <c r="I45" s="10">
        <f t="shared" si="1"/>
        <v>0</v>
      </c>
    </row>
    <row r="46" spans="1:9" ht="15" thickBot="1" x14ac:dyDescent="0.35">
      <c r="F46" s="107" t="s">
        <v>185</v>
      </c>
      <c r="G46" s="12" t="s">
        <v>136</v>
      </c>
      <c r="H46" s="13">
        <f>LandGEMOutputs!$F$55*UserInputs!B15</f>
        <v>0</v>
      </c>
      <c r="I46" s="14">
        <f>H46*2000</f>
        <v>0</v>
      </c>
    </row>
    <row r="47" spans="1:9" ht="15" thickBot="1" x14ac:dyDescent="0.35">
      <c r="F47" s="125" t="s">
        <v>67</v>
      </c>
      <c r="G47" s="126"/>
      <c r="H47" s="15">
        <f>ROUND(SUM(H17:H46),4)</f>
        <v>0</v>
      </c>
      <c r="I47" s="16">
        <f>ROUND(SUM(I17:I46),4)</f>
        <v>0</v>
      </c>
    </row>
    <row r="48" spans="1:9" ht="72" x14ac:dyDescent="0.3">
      <c r="F48" s="109" t="s">
        <v>187</v>
      </c>
    </row>
    <row r="49" spans="6:6" ht="79.5" customHeight="1" x14ac:dyDescent="0.3">
      <c r="F49" s="108" t="s">
        <v>186</v>
      </c>
    </row>
    <row r="50" spans="6:6" ht="66" customHeight="1" x14ac:dyDescent="0.3">
      <c r="F50" s="106"/>
    </row>
  </sheetData>
  <sheetProtection algorithmName="SHA-512" hashValue="YWSyDXOMpuGjsLJQ/zUCmN6Eh0XAtHy7Th8K0r7ReWSbHbQY8MxkN3bvx4B8ikehCgLQZ+EEor9KPdp/vXDPJQ==" saltValue="qCwaKed/xg5Ih2XdrNiBqw==" spinCount="100000" sheet="1" objects="1" scenarios="1"/>
  <mergeCells count="46">
    <mergeCell ref="A3:B3"/>
    <mergeCell ref="C3:D3"/>
    <mergeCell ref="C7:D7"/>
    <mergeCell ref="A7:A8"/>
    <mergeCell ref="B7:B8"/>
    <mergeCell ref="A4:B4"/>
    <mergeCell ref="A5:B5"/>
    <mergeCell ref="A6:B6"/>
    <mergeCell ref="C6:D6"/>
    <mergeCell ref="C5:D5"/>
    <mergeCell ref="C4:D4"/>
    <mergeCell ref="F1:I1"/>
    <mergeCell ref="F2:G2"/>
    <mergeCell ref="H2:I2"/>
    <mergeCell ref="A1:D1"/>
    <mergeCell ref="A2:B2"/>
    <mergeCell ref="C2:D2"/>
    <mergeCell ref="F3:G3"/>
    <mergeCell ref="H3:I3"/>
    <mergeCell ref="F4:G4"/>
    <mergeCell ref="H4:I4"/>
    <mergeCell ref="F5:G5"/>
    <mergeCell ref="H5:I5"/>
    <mergeCell ref="F6:G6"/>
    <mergeCell ref="F7:G7"/>
    <mergeCell ref="H6:I6"/>
    <mergeCell ref="H7:I7"/>
    <mergeCell ref="F15:F16"/>
    <mergeCell ref="G15:G16"/>
    <mergeCell ref="H15:I15"/>
    <mergeCell ref="H12:I12"/>
    <mergeCell ref="F13:G13"/>
    <mergeCell ref="H13:I13"/>
    <mergeCell ref="F14:G14"/>
    <mergeCell ref="H14:I14"/>
    <mergeCell ref="A39:B39"/>
    <mergeCell ref="F47:G47"/>
    <mergeCell ref="F8:G8"/>
    <mergeCell ref="H8:I8"/>
    <mergeCell ref="F9:G9"/>
    <mergeCell ref="H9:I9"/>
    <mergeCell ref="F10:G10"/>
    <mergeCell ref="H10:I10"/>
    <mergeCell ref="F11:G11"/>
    <mergeCell ref="H11:I11"/>
    <mergeCell ref="F12:G12"/>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51970-0D5A-4978-94E9-AF0BD959731D}">
  <sheetPr>
    <tabColor theme="4" tint="0.39997558519241921"/>
  </sheetPr>
  <dimension ref="A1:I44"/>
  <sheetViews>
    <sheetView zoomScale="86" zoomScaleNormal="86" workbookViewId="0">
      <selection sqref="A1:D1"/>
    </sheetView>
  </sheetViews>
  <sheetFormatPr defaultRowHeight="14.4" x14ac:dyDescent="0.3"/>
  <cols>
    <col min="1" max="1" width="46.109375" customWidth="1"/>
    <col min="2" max="4" width="18.6640625" customWidth="1"/>
    <col min="6" max="6" width="20.6640625" customWidth="1"/>
    <col min="7" max="7" width="29.6640625" customWidth="1"/>
    <col min="8" max="8" width="14.6640625" customWidth="1"/>
    <col min="9" max="9" width="7.6640625" customWidth="1"/>
    <col min="12" max="12" width="39.5546875" customWidth="1"/>
    <col min="14" max="14" width="27.33203125" customWidth="1"/>
  </cols>
  <sheetData>
    <row r="1" spans="1:9" ht="15" thickBot="1" x14ac:dyDescent="0.35">
      <c r="A1" s="147" t="s">
        <v>79</v>
      </c>
      <c r="B1" s="148"/>
      <c r="C1" s="148"/>
      <c r="D1" s="149"/>
      <c r="F1" s="159" t="s">
        <v>159</v>
      </c>
      <c r="G1" s="160"/>
      <c r="H1" s="160"/>
      <c r="I1" s="161"/>
    </row>
    <row r="2" spans="1:9" x14ac:dyDescent="0.3">
      <c r="A2" s="150" t="s">
        <v>80</v>
      </c>
      <c r="B2" s="151"/>
      <c r="C2" s="152">
        <f>ROUND(LandGEMOutputs!D3*525600/1000000*(1-UserInputs!B15),4)</f>
        <v>0</v>
      </c>
      <c r="D2" s="153"/>
      <c r="F2" s="162" t="s">
        <v>82</v>
      </c>
      <c r="G2" s="163"/>
      <c r="H2" s="170">
        <f>EmissSum_MultiFlaresINPUT!D2</f>
        <v>0</v>
      </c>
      <c r="I2" s="171"/>
    </row>
    <row r="3" spans="1:9" ht="15.6" x14ac:dyDescent="0.35">
      <c r="A3" s="133" t="s">
        <v>76</v>
      </c>
      <c r="B3" s="134"/>
      <c r="C3" s="141">
        <f>ROUND(SUM(C9+C26+C30+C32),4)</f>
        <v>0</v>
      </c>
      <c r="D3" s="142"/>
      <c r="F3" s="133" t="s">
        <v>84</v>
      </c>
      <c r="G3" s="134"/>
      <c r="H3" s="168">
        <f>ROUND((EmissSum_MultiFlaresINPUT!D8/1000000)*(64/385.4)*EmissSum_MultiFlaresINPUT!D4*60*EmissSum_MultiFlaresINPUT!D5/2000,4)</f>
        <v>0</v>
      </c>
      <c r="I3" s="169"/>
    </row>
    <row r="4" spans="1:9" ht="15.6" x14ac:dyDescent="0.35">
      <c r="A4" s="143" t="s">
        <v>75</v>
      </c>
      <c r="B4" s="144"/>
      <c r="C4" s="145">
        <f>ROUND(LandGEMOutputs!F6*(1-UserInputs!B15),4)</f>
        <v>0</v>
      </c>
      <c r="D4" s="146"/>
      <c r="F4" s="143" t="s">
        <v>85</v>
      </c>
      <c r="G4" s="144"/>
      <c r="H4" s="166">
        <f>ROUND(H2*38*UserInputs!B8/2000,4)</f>
        <v>0</v>
      </c>
      <c r="I4" s="167"/>
    </row>
    <row r="5" spans="1:9" x14ac:dyDescent="0.3">
      <c r="A5" s="133" t="s">
        <v>78</v>
      </c>
      <c r="B5" s="134"/>
      <c r="C5" s="135" t="e">
        <f>ROUND(C3*2000/C2,4)</f>
        <v>#DIV/0!</v>
      </c>
      <c r="D5" s="136"/>
      <c r="F5" s="133" t="s">
        <v>75</v>
      </c>
      <c r="G5" s="134"/>
      <c r="H5" s="168">
        <f>ROUND((EmissSum_MultiFlaresINPUT!D7/1000000)*(86/385.4)*(EmissSum_MultiFlaresINPUT!D4*60)*(EmissSum_MultiFlaresINPUT!D5/2000)*(1-EmissSum_MultiFlaresINPUT!D9),4)</f>
        <v>0</v>
      </c>
      <c r="I5" s="169"/>
    </row>
    <row r="6" spans="1:9" ht="15" thickBot="1" x14ac:dyDescent="0.35">
      <c r="A6" s="137" t="s">
        <v>77</v>
      </c>
      <c r="B6" s="138"/>
      <c r="C6" s="139" t="e">
        <f>ROUND(C4*2000/C2,4)</f>
        <v>#DIV/0!</v>
      </c>
      <c r="D6" s="140"/>
      <c r="F6" s="143" t="s">
        <v>86</v>
      </c>
      <c r="G6" s="144"/>
      <c r="H6" s="166">
        <f>H2*58*UserInputs!B8/2000</f>
        <v>0</v>
      </c>
      <c r="I6" s="167"/>
    </row>
    <row r="7" spans="1:9" ht="15.6" x14ac:dyDescent="0.35">
      <c r="A7" s="127" t="s">
        <v>8</v>
      </c>
      <c r="B7" s="129" t="s">
        <v>74</v>
      </c>
      <c r="C7" s="131" t="s">
        <v>9</v>
      </c>
      <c r="D7" s="132"/>
      <c r="F7" s="133" t="s">
        <v>83</v>
      </c>
      <c r="G7" s="134"/>
      <c r="H7" s="168">
        <f>ROUND(H2*17*UserInputs!B8/2000,4)</f>
        <v>0</v>
      </c>
      <c r="I7" s="169"/>
    </row>
    <row r="8" spans="1:9" x14ac:dyDescent="0.3">
      <c r="A8" s="128"/>
      <c r="B8" s="130"/>
      <c r="C8" s="17" t="s">
        <v>10</v>
      </c>
      <c r="D8" s="18" t="s">
        <v>66</v>
      </c>
      <c r="F8" s="143" t="s">
        <v>76</v>
      </c>
      <c r="G8" s="144"/>
      <c r="H8" s="166" t="e">
        <f>(H2*H14)/2000</f>
        <v>#DIV/0!</v>
      </c>
      <c r="I8" s="167"/>
    </row>
    <row r="9" spans="1:9" ht="15.6" x14ac:dyDescent="0.35">
      <c r="A9" s="7" t="s">
        <v>15</v>
      </c>
      <c r="B9" s="8" t="s">
        <v>94</v>
      </c>
      <c r="C9" s="9">
        <f>LandGEMOutputs!$F$7*(1-UserInputs!$B$15)</f>
        <v>0</v>
      </c>
      <c r="D9" s="10">
        <f>C9*2000</f>
        <v>0</v>
      </c>
      <c r="F9" s="133" t="s">
        <v>88</v>
      </c>
      <c r="G9" s="134"/>
      <c r="H9" s="168" t="e">
        <f>ROUND(H3*2000/H2,4)</f>
        <v>#DIV/0!</v>
      </c>
      <c r="I9" s="169"/>
    </row>
    <row r="10" spans="1:9" ht="15.6" x14ac:dyDescent="0.35">
      <c r="A10" s="11" t="s">
        <v>16</v>
      </c>
      <c r="B10" s="12" t="s">
        <v>95</v>
      </c>
      <c r="C10" s="13">
        <f>LandGEMOutputs!$F$8*(1-UserInputs!$B$15)</f>
        <v>0</v>
      </c>
      <c r="D10" s="14">
        <f t="shared" ref="D10:D37" si="0">C10*2000</f>
        <v>0</v>
      </c>
      <c r="F10" s="143" t="s">
        <v>89</v>
      </c>
      <c r="G10" s="144"/>
      <c r="H10" s="166" t="e">
        <f>ROUND(H4*2000/H2,4)</f>
        <v>#DIV/0!</v>
      </c>
      <c r="I10" s="167"/>
    </row>
    <row r="11" spans="1:9" x14ac:dyDescent="0.3">
      <c r="A11" s="7" t="s">
        <v>17</v>
      </c>
      <c r="B11" s="8" t="s">
        <v>96</v>
      </c>
      <c r="C11" s="9">
        <f>LandGEMOutputs!$F$9*(1-UserInputs!$B$15)</f>
        <v>0</v>
      </c>
      <c r="D11" s="10">
        <f t="shared" si="0"/>
        <v>0</v>
      </c>
      <c r="F11" s="133" t="s">
        <v>77</v>
      </c>
      <c r="G11" s="134"/>
      <c r="H11" s="168" t="e">
        <f>ROUND(H5*2000/H2,4)</f>
        <v>#DIV/0!</v>
      </c>
      <c r="I11" s="169"/>
    </row>
    <row r="12" spans="1:9" x14ac:dyDescent="0.3">
      <c r="A12" s="11" t="s">
        <v>18</v>
      </c>
      <c r="B12" s="12" t="s">
        <v>97</v>
      </c>
      <c r="C12" s="13">
        <f>LandGEMOutputs!$F$10*(1-UserInputs!$B$15)</f>
        <v>0</v>
      </c>
      <c r="D12" s="14">
        <f t="shared" si="0"/>
        <v>0</v>
      </c>
      <c r="F12" s="143" t="s">
        <v>87</v>
      </c>
      <c r="G12" s="144"/>
      <c r="H12" s="166" t="e">
        <f>ROUND(H6*2000/H2,4)</f>
        <v>#DIV/0!</v>
      </c>
      <c r="I12" s="167"/>
    </row>
    <row r="13" spans="1:9" ht="15.6" x14ac:dyDescent="0.35">
      <c r="A13" s="7" t="s">
        <v>19</v>
      </c>
      <c r="B13" s="8" t="s">
        <v>98</v>
      </c>
      <c r="C13" s="9">
        <f>LandGEMOutputs!$F$11*(1-UserInputs!$B$15)</f>
        <v>0</v>
      </c>
      <c r="D13" s="10">
        <f t="shared" si="0"/>
        <v>0</v>
      </c>
      <c r="F13" s="133" t="s">
        <v>90</v>
      </c>
      <c r="G13" s="134"/>
      <c r="H13" s="168" t="e">
        <f>ROUND(H7*2000/H2,4)</f>
        <v>#DIV/0!</v>
      </c>
      <c r="I13" s="169"/>
    </row>
    <row r="14" spans="1:9" ht="15" thickBot="1" x14ac:dyDescent="0.35">
      <c r="A14" s="11" t="s">
        <v>20</v>
      </c>
      <c r="B14" s="12" t="s">
        <v>99</v>
      </c>
      <c r="C14" s="13">
        <f>LandGEMOutputs!$F$12*(1-UserInputs!$B$15)</f>
        <v>0</v>
      </c>
      <c r="D14" s="14">
        <f t="shared" si="0"/>
        <v>0</v>
      </c>
      <c r="F14" s="137" t="s">
        <v>78</v>
      </c>
      <c r="G14" s="138"/>
      <c r="H14" s="172" t="e">
        <f>SUM(EmissSum_MultiFlaresINPUT!D13+EmissSum_MultiFlaresINPUT!D30+EmissSum_MultiFlaresINPUT!D34+EmissSum_MultiFlaresINPUT!D36+EmissSum_MultiFlaresINPUT!D42)/EmissSum_MultiFlaresINPUT!D2</f>
        <v>#DIV/0!</v>
      </c>
      <c r="I14" s="173"/>
    </row>
    <row r="15" spans="1:9" ht="15" thickBot="1" x14ac:dyDescent="0.35">
      <c r="A15" s="7" t="s">
        <v>23</v>
      </c>
      <c r="B15" s="8" t="s">
        <v>100</v>
      </c>
      <c r="C15" s="9">
        <f>LandGEMOutputs!$F$15*(1-UserInputs!$B$15)</f>
        <v>0</v>
      </c>
      <c r="D15" s="10">
        <f t="shared" si="0"/>
        <v>0</v>
      </c>
    </row>
    <row r="16" spans="1:9" ht="15" thickBot="1" x14ac:dyDescent="0.35">
      <c r="A16" s="11" t="s">
        <v>24</v>
      </c>
      <c r="B16" s="12" t="s">
        <v>119</v>
      </c>
      <c r="C16" s="13">
        <f>IF(UserInputs!$B$9="YES",0,LandGEMOutputs!$F$16)*(1-UserInputs!$B$15)</f>
        <v>0</v>
      </c>
      <c r="D16" s="14">
        <f t="shared" si="0"/>
        <v>0</v>
      </c>
      <c r="F16" s="159" t="s">
        <v>160</v>
      </c>
      <c r="G16" s="160"/>
      <c r="H16" s="160"/>
      <c r="I16" s="161"/>
    </row>
    <row r="17" spans="1:9" x14ac:dyDescent="0.3">
      <c r="A17" s="7" t="s">
        <v>25</v>
      </c>
      <c r="B17" s="8" t="s">
        <v>119</v>
      </c>
      <c r="C17" s="9">
        <f>IF(UserInputs!$B$9="YES",LandGEMOutputs!$F$17, 0)*(1-UserInputs!$B$15)</f>
        <v>0</v>
      </c>
      <c r="D17" s="10">
        <f t="shared" si="0"/>
        <v>0</v>
      </c>
      <c r="F17" s="162" t="s">
        <v>82</v>
      </c>
      <c r="G17" s="163"/>
      <c r="H17" s="170">
        <f>EmissSum_MultiFlaresINPUT!E2</f>
        <v>0</v>
      </c>
      <c r="I17" s="171"/>
    </row>
    <row r="18" spans="1:9" ht="15.6" x14ac:dyDescent="0.35">
      <c r="A18" s="11" t="s">
        <v>28</v>
      </c>
      <c r="B18" s="12" t="s">
        <v>101</v>
      </c>
      <c r="C18" s="13">
        <f>LandGEMOutputs!$F$20*(1-UserInputs!$B$15)</f>
        <v>0</v>
      </c>
      <c r="D18" s="14">
        <f t="shared" si="0"/>
        <v>0</v>
      </c>
      <c r="F18" s="133" t="s">
        <v>84</v>
      </c>
      <c r="G18" s="134"/>
      <c r="H18" s="168">
        <f>ROUND((EmissSum_MultiFlaresINPUT!E8/1000000)*(64/385.4)*EmissSum_MultiFlaresINPUT!E4*60*EmissSum_MultiFlaresINPUT!E5/2000,4)</f>
        <v>0</v>
      </c>
      <c r="I18" s="169"/>
    </row>
    <row r="19" spans="1:9" ht="15.6" x14ac:dyDescent="0.35">
      <c r="A19" s="7" t="s">
        <v>30</v>
      </c>
      <c r="B19" s="8" t="s">
        <v>102</v>
      </c>
      <c r="C19" s="9">
        <f>LandGEMOutputs!$F$22*(1-UserInputs!$B$15)</f>
        <v>0</v>
      </c>
      <c r="D19" s="10">
        <f t="shared" si="0"/>
        <v>0</v>
      </c>
      <c r="F19" s="143" t="s">
        <v>85</v>
      </c>
      <c r="G19" s="144"/>
      <c r="H19" s="166">
        <f>ROUND(H17*38*UserInputs!B8/2000,4)</f>
        <v>0</v>
      </c>
      <c r="I19" s="167"/>
    </row>
    <row r="20" spans="1:9" x14ac:dyDescent="0.3">
      <c r="A20" s="11" t="s">
        <v>31</v>
      </c>
      <c r="B20" s="12" t="s">
        <v>103</v>
      </c>
      <c r="C20" s="13">
        <f>LandGEMOutputs!$F$23*(1-UserInputs!$B$15)</f>
        <v>0</v>
      </c>
      <c r="D20" s="14">
        <f t="shared" si="0"/>
        <v>0</v>
      </c>
      <c r="F20" s="133" t="s">
        <v>75</v>
      </c>
      <c r="G20" s="134"/>
      <c r="H20" s="168">
        <f>ROUND((EmissSum_MultiFlaresINPUT!E7/1000000)*(86/385.4)*(EmissSum_MultiFlaresINPUT!E4*60)*(EmissSum_MultiFlaresINPUT!E5/2000)*(1-EmissSum_MultiFlaresINPUT!E9),4)</f>
        <v>0</v>
      </c>
      <c r="I20" s="169"/>
    </row>
    <row r="21" spans="1:9" x14ac:dyDescent="0.3">
      <c r="A21" s="7" t="s">
        <v>32</v>
      </c>
      <c r="B21" s="8" t="s">
        <v>104</v>
      </c>
      <c r="C21" s="9">
        <f>LandGEMOutputs!$F$24*(1-UserInputs!$B$15)</f>
        <v>0</v>
      </c>
      <c r="D21" s="10">
        <f t="shared" si="0"/>
        <v>0</v>
      </c>
      <c r="F21" s="143" t="s">
        <v>86</v>
      </c>
      <c r="G21" s="144"/>
      <c r="H21" s="166">
        <f>H17*58*UserInputs!B8/2000</f>
        <v>0</v>
      </c>
      <c r="I21" s="167"/>
    </row>
    <row r="22" spans="1:9" ht="15.6" x14ac:dyDescent="0.35">
      <c r="A22" s="11" t="s">
        <v>34</v>
      </c>
      <c r="B22" s="12" t="s">
        <v>105</v>
      </c>
      <c r="C22" s="13">
        <f>LandGEMOutputs!$F$26*(1-UserInputs!$B$15)</f>
        <v>0</v>
      </c>
      <c r="D22" s="14">
        <f t="shared" si="0"/>
        <v>0</v>
      </c>
      <c r="F22" s="133" t="s">
        <v>83</v>
      </c>
      <c r="G22" s="134"/>
      <c r="H22" s="168">
        <f>ROUND(H17*17*UserInputs!B8/2000,4)</f>
        <v>0</v>
      </c>
      <c r="I22" s="169"/>
    </row>
    <row r="23" spans="1:9" x14ac:dyDescent="0.3">
      <c r="A23" s="7" t="s">
        <v>35</v>
      </c>
      <c r="B23" s="8" t="s">
        <v>106</v>
      </c>
      <c r="C23" s="9">
        <f>LandGEMOutputs!$F$27*(1-UserInputs!$B$15)</f>
        <v>0</v>
      </c>
      <c r="D23" s="10">
        <f t="shared" si="0"/>
        <v>0</v>
      </c>
      <c r="F23" s="143" t="s">
        <v>76</v>
      </c>
      <c r="G23" s="144"/>
      <c r="H23" s="166" t="e">
        <f>(H17*H29)/2000</f>
        <v>#DIV/0!</v>
      </c>
      <c r="I23" s="167"/>
    </row>
    <row r="24" spans="1:9" ht="15.6" x14ac:dyDescent="0.35">
      <c r="A24" s="11" t="s">
        <v>165</v>
      </c>
      <c r="B24" s="12" t="s">
        <v>163</v>
      </c>
      <c r="C24" s="13">
        <f>LandGEMOutputs!F28*(1-UserInputs!B15)</f>
        <v>0</v>
      </c>
      <c r="D24" s="14">
        <f>C24*2000</f>
        <v>0</v>
      </c>
      <c r="F24" s="133" t="s">
        <v>88</v>
      </c>
      <c r="G24" s="134"/>
      <c r="H24" s="168" t="e">
        <f>ROUND(H18*2000/$H$17,4)</f>
        <v>#DIV/0!</v>
      </c>
      <c r="I24" s="169"/>
    </row>
    <row r="25" spans="1:9" ht="15.6" x14ac:dyDescent="0.35">
      <c r="A25" s="7" t="s">
        <v>37</v>
      </c>
      <c r="B25" s="8" t="s">
        <v>107</v>
      </c>
      <c r="C25" s="9">
        <f>LandGEMOutputs!$F$29*(1-UserInputs!$B$15)</f>
        <v>0</v>
      </c>
      <c r="D25" s="10">
        <f t="shared" si="0"/>
        <v>0</v>
      </c>
      <c r="F25" s="143" t="s">
        <v>89</v>
      </c>
      <c r="G25" s="144"/>
      <c r="H25" s="166" t="e">
        <f>ROUND(H19*2000/$H$17,4)</f>
        <v>#DIV/0!</v>
      </c>
      <c r="I25" s="167"/>
    </row>
    <row r="26" spans="1:9" x14ac:dyDescent="0.3">
      <c r="A26" s="11" t="s">
        <v>40</v>
      </c>
      <c r="B26" s="12" t="s">
        <v>108</v>
      </c>
      <c r="C26" s="13">
        <f>LandGEMOutputs!$F$32*(1-UserInputs!$B$15)</f>
        <v>0</v>
      </c>
      <c r="D26" s="14">
        <f t="shared" si="0"/>
        <v>0</v>
      </c>
      <c r="F26" s="133" t="s">
        <v>77</v>
      </c>
      <c r="G26" s="134"/>
      <c r="H26" s="168" t="e">
        <f>ROUND(H20*2000/$H$17,4)</f>
        <v>#DIV/0!</v>
      </c>
      <c r="I26" s="169"/>
    </row>
    <row r="27" spans="1:9" x14ac:dyDescent="0.3">
      <c r="A27" s="7" t="s">
        <v>45</v>
      </c>
      <c r="B27" s="8" t="s">
        <v>109</v>
      </c>
      <c r="C27" s="9">
        <f>LandGEMOutputs!$F$37*(1-UserInputs!$B$15)</f>
        <v>0</v>
      </c>
      <c r="D27" s="10">
        <f t="shared" si="0"/>
        <v>0</v>
      </c>
      <c r="F27" s="143" t="s">
        <v>87</v>
      </c>
      <c r="G27" s="144"/>
      <c r="H27" s="166" t="e">
        <f>ROUND(H21*2000/$H$17,4)</f>
        <v>#DIV/0!</v>
      </c>
      <c r="I27" s="167"/>
    </row>
    <row r="28" spans="1:9" ht="15.6" x14ac:dyDescent="0.35">
      <c r="A28" s="11" t="s">
        <v>46</v>
      </c>
      <c r="B28" s="12" t="s">
        <v>110</v>
      </c>
      <c r="C28" s="13">
        <f>LandGEMOutputs!$F$38*(1-UserInputs!$B$15)</f>
        <v>0</v>
      </c>
      <c r="D28" s="14">
        <f t="shared" si="0"/>
        <v>0</v>
      </c>
      <c r="F28" s="133" t="s">
        <v>90</v>
      </c>
      <c r="G28" s="134"/>
      <c r="H28" s="168" t="e">
        <f>ROUND(H22*2000/$H$17,4)</f>
        <v>#DIV/0!</v>
      </c>
      <c r="I28" s="169"/>
    </row>
    <row r="29" spans="1:9" ht="15" thickBot="1" x14ac:dyDescent="0.35">
      <c r="A29" s="7" t="s">
        <v>48</v>
      </c>
      <c r="B29" s="8" t="s">
        <v>111</v>
      </c>
      <c r="C29" s="9">
        <f>LandGEMOutputs!$F$40*(1-UserInputs!$B$15)</f>
        <v>0</v>
      </c>
      <c r="D29" s="10">
        <f t="shared" si="0"/>
        <v>0</v>
      </c>
      <c r="F29" s="137" t="s">
        <v>78</v>
      </c>
      <c r="G29" s="138"/>
      <c r="H29" s="172" t="e">
        <f>SUM(EmissSum_MultiFlaresINPUT!E13+EmissSum_MultiFlaresINPUT!E30+EmissSum_MultiFlaresINPUT!E34+EmissSum_MultiFlaresINPUT!E36+EmissSum_MultiFlaresINPUT!E42)/EmissSum_MultiFlaresINPUT!E2</f>
        <v>#DIV/0!</v>
      </c>
      <c r="I29" s="173"/>
    </row>
    <row r="30" spans="1:9" ht="15" thickBot="1" x14ac:dyDescent="0.35">
      <c r="A30" s="11" t="s">
        <v>50</v>
      </c>
      <c r="B30" s="12" t="s">
        <v>112</v>
      </c>
      <c r="C30" s="13">
        <f>LandGEMOutputs!$F$42*(1-UserInputs!$B$15)</f>
        <v>0</v>
      </c>
      <c r="D30" s="14">
        <f t="shared" si="0"/>
        <v>0</v>
      </c>
    </row>
    <row r="31" spans="1:9" ht="15" thickBot="1" x14ac:dyDescent="0.35">
      <c r="A31" s="7" t="s">
        <v>52</v>
      </c>
      <c r="B31" s="8" t="s">
        <v>113</v>
      </c>
      <c r="C31" s="9">
        <f>LandGEMOutputs!$F$44*(1-UserInputs!$B$15)</f>
        <v>0</v>
      </c>
      <c r="D31" s="10">
        <f t="shared" si="0"/>
        <v>0</v>
      </c>
      <c r="F31" s="159" t="s">
        <v>161</v>
      </c>
      <c r="G31" s="160"/>
      <c r="H31" s="160"/>
      <c r="I31" s="161"/>
    </row>
    <row r="32" spans="1:9" x14ac:dyDescent="0.3">
      <c r="A32" s="11" t="s">
        <v>55</v>
      </c>
      <c r="B32" s="12" t="s">
        <v>114</v>
      </c>
      <c r="C32" s="13">
        <f>LandGEMOutputs!$F$47*(1-UserInputs!$B$15)</f>
        <v>0</v>
      </c>
      <c r="D32" s="14">
        <f t="shared" si="0"/>
        <v>0</v>
      </c>
      <c r="F32" s="162" t="s">
        <v>82</v>
      </c>
      <c r="G32" s="163"/>
      <c r="H32" s="170">
        <f>EmissSum_MultiFlaresINPUT!F2</f>
        <v>0</v>
      </c>
      <c r="I32" s="171"/>
    </row>
    <row r="33" spans="1:9" ht="15.6" x14ac:dyDescent="0.35">
      <c r="A33" s="7" t="s">
        <v>58</v>
      </c>
      <c r="B33" s="8" t="s">
        <v>118</v>
      </c>
      <c r="C33" s="9">
        <f>IF(UserInputs!$B$9="YES",0,LandGEMOutputs!$F$50)*(1-UserInputs!$B$15)</f>
        <v>0</v>
      </c>
      <c r="D33" s="10">
        <f t="shared" si="0"/>
        <v>0</v>
      </c>
      <c r="F33" s="133" t="s">
        <v>84</v>
      </c>
      <c r="G33" s="134"/>
      <c r="H33" s="168">
        <f>ROUND((EmissSum_MultiFlaresINPUT!F8/1000000)*(64/385.4)*EmissSum_MultiFlaresINPUT!F4*60*EmissSum_MultiFlaresINPUT!F5/2000,4)</f>
        <v>0</v>
      </c>
      <c r="I33" s="169"/>
    </row>
    <row r="34" spans="1:9" ht="15.6" x14ac:dyDescent="0.35">
      <c r="A34" s="11" t="s">
        <v>59</v>
      </c>
      <c r="B34" s="12" t="s">
        <v>118</v>
      </c>
      <c r="C34" s="13">
        <f>IF(UserInputs!$B$9="YES",LandGEMOutputs!$F$51,0)*(1-UserInputs!$B$15)</f>
        <v>0</v>
      </c>
      <c r="D34" s="14">
        <f t="shared" si="0"/>
        <v>0</v>
      </c>
      <c r="F34" s="143" t="s">
        <v>85</v>
      </c>
      <c r="G34" s="144"/>
      <c r="H34" s="166">
        <f>ROUND(H32*38*UserInputs!B8/2000,4)</f>
        <v>0</v>
      </c>
      <c r="I34" s="167"/>
    </row>
    <row r="35" spans="1:9" x14ac:dyDescent="0.3">
      <c r="A35" s="7" t="s">
        <v>60</v>
      </c>
      <c r="B35" s="8" t="s">
        <v>115</v>
      </c>
      <c r="C35" s="9">
        <f>LandGEMOutputs!$F$52*(1-UserInputs!$B$15)</f>
        <v>0</v>
      </c>
      <c r="D35" s="10">
        <f t="shared" si="0"/>
        <v>0</v>
      </c>
      <c r="F35" s="133" t="s">
        <v>75</v>
      </c>
      <c r="G35" s="134"/>
      <c r="H35" s="168">
        <f>ROUND((EmissSum_MultiFlaresINPUT!F7/1000000)*(86/385.4)*(EmissSum_MultiFlaresINPUT!F4*60)*(EmissSum_MultiFlaresINPUT!F5/2000)*(1-EmissSum_MultiFlaresINPUT!F9),4)</f>
        <v>0</v>
      </c>
      <c r="I35" s="169"/>
    </row>
    <row r="36" spans="1:9" x14ac:dyDescent="0.3">
      <c r="A36" s="11" t="s">
        <v>61</v>
      </c>
      <c r="B36" s="12" t="s">
        <v>116</v>
      </c>
      <c r="C36" s="13">
        <f>LandGEMOutputs!$F$53*(1-UserInputs!$B$15)</f>
        <v>0</v>
      </c>
      <c r="D36" s="14">
        <f t="shared" si="0"/>
        <v>0</v>
      </c>
      <c r="F36" s="143" t="s">
        <v>86</v>
      </c>
      <c r="G36" s="144"/>
      <c r="H36" s="166">
        <f>H32*58*UserInputs!B8/2000</f>
        <v>0</v>
      </c>
      <c r="I36" s="167"/>
    </row>
    <row r="37" spans="1:9" ht="15.6" x14ac:dyDescent="0.35">
      <c r="A37" s="7" t="s">
        <v>62</v>
      </c>
      <c r="B37" s="8" t="s">
        <v>117</v>
      </c>
      <c r="C37" s="9">
        <f>LandGEMOutputs!$F$54*(1-UserInputs!$B$15)</f>
        <v>0</v>
      </c>
      <c r="D37" s="10">
        <f t="shared" si="0"/>
        <v>0</v>
      </c>
      <c r="F37" s="133" t="s">
        <v>83</v>
      </c>
      <c r="G37" s="134"/>
      <c r="H37" s="168">
        <f>ROUND(H32*17*UserInputs!B8/2000,4)</f>
        <v>0</v>
      </c>
      <c r="I37" s="169"/>
    </row>
    <row r="38" spans="1:9" x14ac:dyDescent="0.3">
      <c r="A38" s="65"/>
      <c r="B38" s="65" t="s">
        <v>138</v>
      </c>
      <c r="C38" s="66">
        <f>ROUND(SUM(C9:C37),4)</f>
        <v>0</v>
      </c>
      <c r="D38" s="66">
        <f>ROUND(SUM(D9:D37),4)</f>
        <v>0</v>
      </c>
      <c r="F38" s="143" t="s">
        <v>76</v>
      </c>
      <c r="G38" s="144"/>
      <c r="H38" s="166" t="e">
        <f>(H32*H44)/2000</f>
        <v>#DIV/0!</v>
      </c>
      <c r="I38" s="167"/>
    </row>
    <row r="39" spans="1:9" ht="15.6" x14ac:dyDescent="0.35">
      <c r="F39" s="133" t="s">
        <v>88</v>
      </c>
      <c r="G39" s="134"/>
      <c r="H39" s="168" t="e">
        <f>ROUND(H33*2000/H32,4)</f>
        <v>#DIV/0!</v>
      </c>
      <c r="I39" s="169"/>
    </row>
    <row r="40" spans="1:9" ht="15.6" x14ac:dyDescent="0.35">
      <c r="F40" s="143" t="s">
        <v>89</v>
      </c>
      <c r="G40" s="144"/>
      <c r="H40" s="166" t="e">
        <f>ROUND(H34*2000/H32,4)</f>
        <v>#DIV/0!</v>
      </c>
      <c r="I40" s="167"/>
    </row>
    <row r="41" spans="1:9" x14ac:dyDescent="0.3">
      <c r="F41" s="133" t="s">
        <v>77</v>
      </c>
      <c r="G41" s="134"/>
      <c r="H41" s="168" t="e">
        <f>ROUND(H35*2000/H32,4)</f>
        <v>#DIV/0!</v>
      </c>
      <c r="I41" s="169"/>
    </row>
    <row r="42" spans="1:9" x14ac:dyDescent="0.3">
      <c r="F42" s="143" t="s">
        <v>87</v>
      </c>
      <c r="G42" s="144"/>
      <c r="H42" s="166" t="e">
        <f>ROUND(H36*2000/H32,4)</f>
        <v>#DIV/0!</v>
      </c>
      <c r="I42" s="167"/>
    </row>
    <row r="43" spans="1:9" ht="15.6" x14ac:dyDescent="0.35">
      <c r="F43" s="133" t="s">
        <v>90</v>
      </c>
      <c r="G43" s="134"/>
      <c r="H43" s="168" t="e">
        <f>ROUND(H37*2000/H32,4)</f>
        <v>#DIV/0!</v>
      </c>
      <c r="I43" s="169"/>
    </row>
    <row r="44" spans="1:9" ht="15" thickBot="1" x14ac:dyDescent="0.35">
      <c r="F44" s="137" t="s">
        <v>78</v>
      </c>
      <c r="G44" s="138"/>
      <c r="H44" s="172" t="e">
        <f>SUM(EmissSum_MultiFlaresINPUT!F13+EmissSum_MultiFlaresINPUT!F30+EmissSum_MultiFlaresINPUT!F34+EmissSum_MultiFlaresINPUT!F36+EmissSum_MultiFlaresINPUT!F42)/EmissSum_MultiFlaresINPUT!F2</f>
        <v>#DIV/0!</v>
      </c>
      <c r="I44" s="173"/>
    </row>
  </sheetData>
  <sheetProtection algorithmName="SHA-512" hashValue="v4yUhWud9zkIDX+2R4P9Zxcpte/AIMHEKHjkJCHDYWNi1Amtb2UodnFMib7mybTuAUuWXtbW1YjJqVOT3xu10A==" saltValue="0SXPLHUXja29+JChx1N60w==" spinCount="100000" sheet="1" objects="1" scenarios="1"/>
  <mergeCells count="95">
    <mergeCell ref="H5:I5"/>
    <mergeCell ref="H10:I10"/>
    <mergeCell ref="H9:I9"/>
    <mergeCell ref="H8:I8"/>
    <mergeCell ref="H26:I26"/>
    <mergeCell ref="H25:I25"/>
    <mergeCell ref="H24:I24"/>
    <mergeCell ref="H7:I7"/>
    <mergeCell ref="H6:I6"/>
    <mergeCell ref="H22:I22"/>
    <mergeCell ref="H44:I44"/>
    <mergeCell ref="H43:I43"/>
    <mergeCell ref="H37:I37"/>
    <mergeCell ref="H36:I36"/>
    <mergeCell ref="H35:I35"/>
    <mergeCell ref="H40:I40"/>
    <mergeCell ref="H39:I39"/>
    <mergeCell ref="H38:I38"/>
    <mergeCell ref="H42:I42"/>
    <mergeCell ref="H41:I41"/>
    <mergeCell ref="F4:G4"/>
    <mergeCell ref="H4:I4"/>
    <mergeCell ref="F1:I1"/>
    <mergeCell ref="F2:G2"/>
    <mergeCell ref="H2:I2"/>
    <mergeCell ref="F3:G3"/>
    <mergeCell ref="H3:I3"/>
    <mergeCell ref="F11:G11"/>
    <mergeCell ref="H11:I11"/>
    <mergeCell ref="F16:I16"/>
    <mergeCell ref="F17:G17"/>
    <mergeCell ref="H17:I17"/>
    <mergeCell ref="F12:G12"/>
    <mergeCell ref="H12:I12"/>
    <mergeCell ref="F13:G13"/>
    <mergeCell ref="H13:I13"/>
    <mergeCell ref="F8:G8"/>
    <mergeCell ref="F9:G9"/>
    <mergeCell ref="F10:G10"/>
    <mergeCell ref="F5:G5"/>
    <mergeCell ref="F6:G6"/>
    <mergeCell ref="F7:G7"/>
    <mergeCell ref="F23:G23"/>
    <mergeCell ref="H23:I23"/>
    <mergeCell ref="F14:G14"/>
    <mergeCell ref="H14:I14"/>
    <mergeCell ref="H20:I20"/>
    <mergeCell ref="F21:G21"/>
    <mergeCell ref="H21:I21"/>
    <mergeCell ref="F22:G22"/>
    <mergeCell ref="F19:G19"/>
    <mergeCell ref="H19:I19"/>
    <mergeCell ref="F20:G20"/>
    <mergeCell ref="F18:G18"/>
    <mergeCell ref="H18:I18"/>
    <mergeCell ref="H34:I34"/>
    <mergeCell ref="F27:G27"/>
    <mergeCell ref="H27:I27"/>
    <mergeCell ref="F28:G28"/>
    <mergeCell ref="H28:I28"/>
    <mergeCell ref="F31:I31"/>
    <mergeCell ref="F32:G32"/>
    <mergeCell ref="H32:I32"/>
    <mergeCell ref="F33:G33"/>
    <mergeCell ref="H33:I33"/>
    <mergeCell ref="H29:I29"/>
    <mergeCell ref="F24:G24"/>
    <mergeCell ref="F25:G25"/>
    <mergeCell ref="F26:G26"/>
    <mergeCell ref="F35:G35"/>
    <mergeCell ref="F36:G36"/>
    <mergeCell ref="F34:G34"/>
    <mergeCell ref="F37:G37"/>
    <mergeCell ref="F43:G43"/>
    <mergeCell ref="F29:G29"/>
    <mergeCell ref="F44:G44"/>
    <mergeCell ref="F41:G41"/>
    <mergeCell ref="F42:G42"/>
    <mergeCell ref="F38:G38"/>
    <mergeCell ref="F39:G39"/>
    <mergeCell ref="F40:G40"/>
    <mergeCell ref="A1:D1"/>
    <mergeCell ref="A2:B2"/>
    <mergeCell ref="C2:D2"/>
    <mergeCell ref="A7:A8"/>
    <mergeCell ref="B7:B8"/>
    <mergeCell ref="C7:D7"/>
    <mergeCell ref="A4:B4"/>
    <mergeCell ref="C4:D4"/>
    <mergeCell ref="A5:B5"/>
    <mergeCell ref="C5:D5"/>
    <mergeCell ref="A6:B6"/>
    <mergeCell ref="C6:D6"/>
    <mergeCell ref="A3:B3"/>
    <mergeCell ref="C3:D3"/>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631AF-EECE-4723-8B03-8E060E30FE32}">
  <sheetPr>
    <tabColor theme="4" tint="0.39997558519241921"/>
  </sheetPr>
  <dimension ref="A1:G45"/>
  <sheetViews>
    <sheetView zoomScale="86" zoomScaleNormal="86" workbookViewId="0">
      <selection activeCell="D4" sqref="D4"/>
    </sheetView>
  </sheetViews>
  <sheetFormatPr defaultColWidth="9.109375" defaultRowHeight="14.4" x14ac:dyDescent="0.3"/>
  <cols>
    <col min="1" max="1" width="45.109375" style="69" customWidth="1"/>
    <col min="2" max="2" width="47.109375" style="69" customWidth="1"/>
    <col min="3" max="3" width="76.88671875" style="69" customWidth="1"/>
    <col min="4" max="5" width="29.6640625" style="69" customWidth="1"/>
    <col min="6" max="6" width="29.6640625" style="69" bestFit="1" customWidth="1"/>
    <col min="7" max="7" width="21.6640625" style="69" customWidth="1"/>
    <col min="8" max="16384" width="9.109375" style="69"/>
  </cols>
  <sheetData>
    <row r="1" spans="1:7" s="87" customFormat="1" ht="18" x14ac:dyDescent="0.3">
      <c r="A1" s="98" t="s">
        <v>176</v>
      </c>
      <c r="B1" s="97"/>
      <c r="C1" s="88" t="s">
        <v>158</v>
      </c>
      <c r="D1" s="89" t="s">
        <v>146</v>
      </c>
      <c r="E1" s="89" t="s">
        <v>147</v>
      </c>
      <c r="F1" s="89" t="s">
        <v>148</v>
      </c>
      <c r="G1" s="85" t="s">
        <v>149</v>
      </c>
    </row>
    <row r="2" spans="1:7" x14ac:dyDescent="0.3">
      <c r="A2" s="97" t="s">
        <v>178</v>
      </c>
      <c r="B2" s="97"/>
      <c r="C2" s="81" t="s">
        <v>154</v>
      </c>
      <c r="D2" s="82">
        <f>ROUND(D4*60*D5/1000000,4)</f>
        <v>0</v>
      </c>
      <c r="E2" s="82">
        <f>ROUND(E4*60*E5/1000000,4)</f>
        <v>0</v>
      </c>
      <c r="F2" s="82">
        <f>ROUND(F4*60*F5/1000000,4)</f>
        <v>0</v>
      </c>
      <c r="G2" s="86">
        <f>D2+E2+F2</f>
        <v>0</v>
      </c>
    </row>
    <row r="3" spans="1:7" x14ac:dyDescent="0.3">
      <c r="A3" s="69" t="s">
        <v>177</v>
      </c>
      <c r="B3" s="94"/>
      <c r="C3" s="96" t="s">
        <v>153</v>
      </c>
      <c r="D3" s="82">
        <f>ROUND(D2*0.2899,4)</f>
        <v>0</v>
      </c>
      <c r="E3" s="82">
        <f>ROUND(E2*0.2899,4)</f>
        <v>0</v>
      </c>
      <c r="F3" s="82">
        <f>ROUND(F2*0.2899,4)</f>
        <v>0</v>
      </c>
    </row>
    <row r="4" spans="1:7" x14ac:dyDescent="0.3">
      <c r="B4" s="95"/>
      <c r="C4" s="96" t="s">
        <v>150</v>
      </c>
      <c r="D4" s="83"/>
      <c r="E4" s="83"/>
      <c r="F4" s="83"/>
    </row>
    <row r="5" spans="1:7" x14ac:dyDescent="0.3">
      <c r="B5" s="95"/>
      <c r="C5" s="96" t="s">
        <v>151</v>
      </c>
      <c r="D5" s="83"/>
      <c r="E5" s="83"/>
      <c r="F5" s="83"/>
    </row>
    <row r="6" spans="1:7" x14ac:dyDescent="0.3">
      <c r="B6" s="94"/>
      <c r="C6" s="96" t="s">
        <v>152</v>
      </c>
      <c r="D6" s="84" t="e">
        <f>D2/G2</f>
        <v>#DIV/0!</v>
      </c>
      <c r="E6" s="84" t="e">
        <f>E2/G2</f>
        <v>#DIV/0!</v>
      </c>
      <c r="F6" s="84" t="e">
        <f>F2/G2</f>
        <v>#DIV/0!</v>
      </c>
    </row>
    <row r="7" spans="1:7" x14ac:dyDescent="0.3">
      <c r="B7" s="94"/>
      <c r="C7" s="99" t="s">
        <v>126</v>
      </c>
      <c r="D7" s="100"/>
      <c r="E7" s="102"/>
      <c r="F7" s="100"/>
    </row>
    <row r="8" spans="1:7" x14ac:dyDescent="0.3">
      <c r="C8" s="104" t="s">
        <v>71</v>
      </c>
      <c r="D8" s="100"/>
      <c r="E8" s="102"/>
      <c r="F8" s="100"/>
    </row>
    <row r="9" spans="1:7" x14ac:dyDescent="0.3">
      <c r="C9" s="104" t="s">
        <v>72</v>
      </c>
      <c r="D9" s="101"/>
      <c r="E9" s="103"/>
      <c r="F9" s="101"/>
    </row>
    <row r="10" spans="1:7" x14ac:dyDescent="0.3">
      <c r="C10" s="104" t="s">
        <v>73</v>
      </c>
      <c r="D10" s="101"/>
      <c r="E10" s="103"/>
      <c r="F10" s="101"/>
    </row>
    <row r="11" spans="1:7" x14ac:dyDescent="0.3">
      <c r="A11" s="178" t="s">
        <v>8</v>
      </c>
      <c r="B11" s="180" t="s">
        <v>74</v>
      </c>
      <c r="C11" s="182" t="s">
        <v>145</v>
      </c>
      <c r="D11" s="174" t="s">
        <v>155</v>
      </c>
      <c r="E11" s="174" t="s">
        <v>156</v>
      </c>
      <c r="F11" s="174" t="s">
        <v>157</v>
      </c>
    </row>
    <row r="12" spans="1:7" x14ac:dyDescent="0.3">
      <c r="A12" s="179"/>
      <c r="B12" s="181"/>
      <c r="C12" s="182"/>
      <c r="D12" s="175"/>
      <c r="E12" s="175"/>
      <c r="F12" s="175"/>
    </row>
    <row r="13" spans="1:7" x14ac:dyDescent="0.3">
      <c r="A13" s="110" t="s">
        <v>181</v>
      </c>
      <c r="B13" s="8" t="s">
        <v>94</v>
      </c>
      <c r="C13" s="70">
        <f>LandGEMOutputs!F7*2000</f>
        <v>0</v>
      </c>
      <c r="D13" s="71" t="e">
        <f>C13*D6*D10*(1-D9)</f>
        <v>#DIV/0!</v>
      </c>
      <c r="E13" s="71" t="e">
        <f>C13*E6*E10*(1-E9)</f>
        <v>#DIV/0!</v>
      </c>
      <c r="F13" s="71" t="e">
        <f>C13*F6*F10*(1-F9)</f>
        <v>#DIV/0!</v>
      </c>
    </row>
    <row r="14" spans="1:7" x14ac:dyDescent="0.3">
      <c r="A14" s="11" t="s">
        <v>16</v>
      </c>
      <c r="B14" s="12" t="s">
        <v>95</v>
      </c>
      <c r="C14" s="73">
        <f>LandGEMOutputs!F8*2000</f>
        <v>0</v>
      </c>
      <c r="D14" s="74" t="e">
        <f>C14*D6*D10</f>
        <v>#DIV/0!</v>
      </c>
      <c r="E14" s="74" t="e">
        <f>C14*E6*E10</f>
        <v>#DIV/0!</v>
      </c>
      <c r="F14" s="74" t="e">
        <f>C14*F6*F10</f>
        <v>#DIV/0!</v>
      </c>
    </row>
    <row r="15" spans="1:7" x14ac:dyDescent="0.3">
      <c r="A15" s="7" t="s">
        <v>17</v>
      </c>
      <c r="B15" s="8" t="s">
        <v>96</v>
      </c>
      <c r="C15" s="70">
        <f>LandGEMOutputs!F9*2000</f>
        <v>0</v>
      </c>
      <c r="D15" s="71" t="e">
        <f>C15*D6*D10</f>
        <v>#DIV/0!</v>
      </c>
      <c r="E15" s="71" t="e">
        <f>C15*E6*E10</f>
        <v>#DIV/0!</v>
      </c>
      <c r="F15" s="71" t="e">
        <f>C15*F6*F10</f>
        <v>#DIV/0!</v>
      </c>
    </row>
    <row r="16" spans="1:7" x14ac:dyDescent="0.3">
      <c r="A16" s="11" t="s">
        <v>18</v>
      </c>
      <c r="B16" s="12" t="s">
        <v>97</v>
      </c>
      <c r="C16" s="73">
        <f>LandGEMOutputs!F10*2000</f>
        <v>0</v>
      </c>
      <c r="D16" s="74" t="e">
        <f>C16*D6*D10</f>
        <v>#DIV/0!</v>
      </c>
      <c r="E16" s="74" t="e">
        <f>C16*E6*E10</f>
        <v>#DIV/0!</v>
      </c>
      <c r="F16" s="74" t="e">
        <f>C16*F6*F10</f>
        <v>#DIV/0!</v>
      </c>
    </row>
    <row r="17" spans="1:6" x14ac:dyDescent="0.3">
      <c r="A17" s="7" t="s">
        <v>19</v>
      </c>
      <c r="B17" s="8" t="s">
        <v>98</v>
      </c>
      <c r="C17" s="70">
        <f>LandGEMOutputs!F11*2000</f>
        <v>0</v>
      </c>
      <c r="D17" s="71" t="e">
        <f>C17*D6*D10</f>
        <v>#DIV/0!</v>
      </c>
      <c r="E17" s="72" t="e">
        <f>C17*E6*E10</f>
        <v>#DIV/0!</v>
      </c>
      <c r="F17" s="72" t="e">
        <f>C17*F6*F10</f>
        <v>#DIV/0!</v>
      </c>
    </row>
    <row r="18" spans="1:6" x14ac:dyDescent="0.3">
      <c r="A18" s="11" t="s">
        <v>20</v>
      </c>
      <c r="B18" s="12" t="s">
        <v>99</v>
      </c>
      <c r="C18" s="73">
        <f>LandGEMOutputs!F12*2000</f>
        <v>0</v>
      </c>
      <c r="D18" s="74" t="e">
        <f>C18*D6*D10</f>
        <v>#DIV/0!</v>
      </c>
      <c r="E18" s="75" t="e">
        <f>C18*E6*E10</f>
        <v>#DIV/0!</v>
      </c>
      <c r="F18" s="75" t="e">
        <f>C18*F6*F10</f>
        <v>#DIV/0!</v>
      </c>
    </row>
    <row r="19" spans="1:6" x14ac:dyDescent="0.3">
      <c r="A19" s="7" t="s">
        <v>23</v>
      </c>
      <c r="B19" s="8" t="s">
        <v>100</v>
      </c>
      <c r="C19" s="70">
        <f>LandGEMOutputs!F15*2000</f>
        <v>0</v>
      </c>
      <c r="D19" s="71" t="e">
        <f>C19*D6*D10</f>
        <v>#DIV/0!</v>
      </c>
      <c r="E19" s="72" t="e">
        <f>C19*E6*E10</f>
        <v>#DIV/0!</v>
      </c>
      <c r="F19" s="72" t="e">
        <f>C19*F6*F10</f>
        <v>#DIV/0!</v>
      </c>
    </row>
    <row r="20" spans="1:6" x14ac:dyDescent="0.3">
      <c r="A20" s="11" t="s">
        <v>24</v>
      </c>
      <c r="B20" s="12" t="s">
        <v>119</v>
      </c>
      <c r="C20" s="73">
        <f>IF(UserInputs!B9="YES",0,LandGEMOutputs!F16*2000)</f>
        <v>0</v>
      </c>
      <c r="D20" s="74" t="e">
        <f>C20*D6*D10</f>
        <v>#DIV/0!</v>
      </c>
      <c r="E20" s="75" t="e">
        <f>C20*E6*E10</f>
        <v>#DIV/0!</v>
      </c>
      <c r="F20" s="75" t="e">
        <f>C20*F6*F10</f>
        <v>#DIV/0!</v>
      </c>
    </row>
    <row r="21" spans="1:6" x14ac:dyDescent="0.3">
      <c r="A21" s="7" t="s">
        <v>25</v>
      </c>
      <c r="B21" s="8" t="s">
        <v>119</v>
      </c>
      <c r="C21" s="70">
        <f>IF(UserInputs!B9="YES",LandGEMOutputs!F17*2000,0)</f>
        <v>0</v>
      </c>
      <c r="D21" s="71" t="e">
        <f>C21*D6*D10</f>
        <v>#DIV/0!</v>
      </c>
      <c r="E21" s="72" t="e">
        <f>C21*E6*E10</f>
        <v>#DIV/0!</v>
      </c>
      <c r="F21" s="72" t="e">
        <f>C21*F6*F10</f>
        <v>#DIV/0!</v>
      </c>
    </row>
    <row r="22" spans="1:6" x14ac:dyDescent="0.3">
      <c r="A22" s="11" t="s">
        <v>28</v>
      </c>
      <c r="B22" s="12" t="s">
        <v>101</v>
      </c>
      <c r="C22" s="73">
        <f>LandGEMOutputs!F20*2000</f>
        <v>0</v>
      </c>
      <c r="D22" s="74" t="e">
        <f>C22*D6*D10</f>
        <v>#DIV/0!</v>
      </c>
      <c r="E22" s="75" t="e">
        <f>C22*E6*E10</f>
        <v>#DIV/0!</v>
      </c>
      <c r="F22" s="75" t="e">
        <f>C22*F6*F10</f>
        <v>#DIV/0!</v>
      </c>
    </row>
    <row r="23" spans="1:6" x14ac:dyDescent="0.3">
      <c r="A23" s="7" t="s">
        <v>30</v>
      </c>
      <c r="B23" s="8" t="s">
        <v>102</v>
      </c>
      <c r="C23" s="70">
        <f>LandGEMOutputs!F22*2000</f>
        <v>0</v>
      </c>
      <c r="D23" s="71" t="e">
        <f>C23*D6*D10</f>
        <v>#DIV/0!</v>
      </c>
      <c r="E23" s="72" t="e">
        <f>C23*E6*E10</f>
        <v>#DIV/0!</v>
      </c>
      <c r="F23" s="72" t="e">
        <f>C23*F6*F10</f>
        <v>#DIV/0!</v>
      </c>
    </row>
    <row r="24" spans="1:6" x14ac:dyDescent="0.3">
      <c r="A24" s="11" t="s">
        <v>31</v>
      </c>
      <c r="B24" s="12" t="s">
        <v>103</v>
      </c>
      <c r="C24" s="73">
        <f>LandGEMOutputs!F23*2000</f>
        <v>0</v>
      </c>
      <c r="D24" s="74" t="e">
        <f>C24*D6*D10</f>
        <v>#DIV/0!</v>
      </c>
      <c r="E24" s="75" t="e">
        <f>C24*E6*E10</f>
        <v>#DIV/0!</v>
      </c>
      <c r="F24" s="75" t="e">
        <f>C24*F6*F10</f>
        <v>#DIV/0!</v>
      </c>
    </row>
    <row r="25" spans="1:6" x14ac:dyDescent="0.3">
      <c r="A25" s="7" t="s">
        <v>32</v>
      </c>
      <c r="B25" s="8" t="s">
        <v>104</v>
      </c>
      <c r="C25" s="70">
        <f>LandGEMOutputs!F24*2000</f>
        <v>0</v>
      </c>
      <c r="D25" s="71" t="e">
        <f>C25*D6*D10</f>
        <v>#DIV/0!</v>
      </c>
      <c r="E25" s="72" t="e">
        <f>C25*E6*E10</f>
        <v>#DIV/0!</v>
      </c>
      <c r="F25" s="72" t="e">
        <f>C25*F6*F10</f>
        <v>#DIV/0!</v>
      </c>
    </row>
    <row r="26" spans="1:6" x14ac:dyDescent="0.3">
      <c r="A26" s="11" t="s">
        <v>34</v>
      </c>
      <c r="B26" s="12" t="s">
        <v>105</v>
      </c>
      <c r="C26" s="73">
        <f>LandGEMOutputs!F26*2000</f>
        <v>0</v>
      </c>
      <c r="D26" s="74" t="e">
        <f>C26*D6*D10</f>
        <v>#DIV/0!</v>
      </c>
      <c r="E26" s="75" t="e">
        <f>C26*E6*E10</f>
        <v>#DIV/0!</v>
      </c>
      <c r="F26" s="75" t="e">
        <f>C26*F6*F10</f>
        <v>#DIV/0!</v>
      </c>
    </row>
    <row r="27" spans="1:6" x14ac:dyDescent="0.3">
      <c r="A27" s="7" t="s">
        <v>35</v>
      </c>
      <c r="B27" s="8" t="s">
        <v>106</v>
      </c>
      <c r="C27" s="70">
        <f>LandGEMOutputs!F27*2000</f>
        <v>0</v>
      </c>
      <c r="D27" s="71" t="e">
        <f>C27*D6*D10</f>
        <v>#DIV/0!</v>
      </c>
      <c r="E27" s="72" t="e">
        <f>C27*E6*E10</f>
        <v>#DIV/0!</v>
      </c>
      <c r="F27" s="72" t="e">
        <f>C27*F6*F10</f>
        <v>#DIV/0!</v>
      </c>
    </row>
    <row r="28" spans="1:6" x14ac:dyDescent="0.3">
      <c r="A28" s="11" t="s">
        <v>166</v>
      </c>
      <c r="B28" s="12" t="s">
        <v>163</v>
      </c>
      <c r="C28" s="73">
        <f>LandGEMOutputs!F28</f>
        <v>0</v>
      </c>
      <c r="D28" s="74" t="e">
        <f>C28*D6*D10</f>
        <v>#DIV/0!</v>
      </c>
      <c r="E28" s="75" t="e">
        <f>C28*E6*E10</f>
        <v>#DIV/0!</v>
      </c>
      <c r="F28" s="75" t="e">
        <f>C28*F6*F10</f>
        <v>#DIV/0!</v>
      </c>
    </row>
    <row r="29" spans="1:6" x14ac:dyDescent="0.3">
      <c r="A29" s="7" t="s">
        <v>37</v>
      </c>
      <c r="B29" s="8" t="s">
        <v>107</v>
      </c>
      <c r="C29" s="70">
        <f>LandGEMOutputs!F29*2000</f>
        <v>0</v>
      </c>
      <c r="D29" s="71" t="e">
        <f>C29*D6*D10</f>
        <v>#DIV/0!</v>
      </c>
      <c r="E29" s="72" t="e">
        <f>C29*E6*E10</f>
        <v>#DIV/0!</v>
      </c>
      <c r="F29" s="72" t="e">
        <f>C29*F6*F10</f>
        <v>#DIV/0!</v>
      </c>
    </row>
    <row r="30" spans="1:6" x14ac:dyDescent="0.3">
      <c r="A30" s="110" t="s">
        <v>182</v>
      </c>
      <c r="B30" s="12" t="s">
        <v>108</v>
      </c>
      <c r="C30" s="73">
        <f>LandGEMOutputs!F32*2000</f>
        <v>0</v>
      </c>
      <c r="D30" s="74" t="e">
        <f>C30*D6*D10*(1-D9)</f>
        <v>#DIV/0!</v>
      </c>
      <c r="E30" s="75" t="e">
        <f>C30*E6*E10*(1-E9)</f>
        <v>#DIV/0!</v>
      </c>
      <c r="F30" s="75" t="e">
        <f>C30*F6*F10*(1-F9)</f>
        <v>#DIV/0!</v>
      </c>
    </row>
    <row r="31" spans="1:6" x14ac:dyDescent="0.3">
      <c r="A31" s="7" t="s">
        <v>45</v>
      </c>
      <c r="B31" s="8" t="s">
        <v>109</v>
      </c>
      <c r="C31" s="70">
        <f>LandGEMOutputs!F37*2000</f>
        <v>0</v>
      </c>
      <c r="D31" s="71" t="e">
        <f>C31*D6*D10</f>
        <v>#DIV/0!</v>
      </c>
      <c r="E31" s="72" t="e">
        <f>C31*E6*E10</f>
        <v>#DIV/0!</v>
      </c>
      <c r="F31" s="72" t="e">
        <f>C31*F6*F10</f>
        <v>#DIV/0!</v>
      </c>
    </row>
    <row r="32" spans="1:6" x14ac:dyDescent="0.3">
      <c r="A32" s="11" t="s">
        <v>46</v>
      </c>
      <c r="B32" s="12" t="s">
        <v>110</v>
      </c>
      <c r="C32" s="73">
        <f>LandGEMOutputs!F38*2000</f>
        <v>0</v>
      </c>
      <c r="D32" s="74" t="e">
        <f>C32*D6*D10</f>
        <v>#DIV/0!</v>
      </c>
      <c r="E32" s="75" t="e">
        <f>C32*E6*E10</f>
        <v>#DIV/0!</v>
      </c>
      <c r="F32" s="75" t="e">
        <f>C32*F6*F10</f>
        <v>#DIV/0!</v>
      </c>
    </row>
    <row r="33" spans="1:6" x14ac:dyDescent="0.3">
      <c r="A33" s="7" t="s">
        <v>48</v>
      </c>
      <c r="B33" s="8" t="s">
        <v>111</v>
      </c>
      <c r="C33" s="70">
        <f>LandGEMOutputs!F40*2000</f>
        <v>0</v>
      </c>
      <c r="D33" s="71" t="e">
        <f>C33*D6*D10</f>
        <v>#DIV/0!</v>
      </c>
      <c r="E33" s="72" t="e">
        <f>C33*E6*E10</f>
        <v>#DIV/0!</v>
      </c>
      <c r="F33" s="72" t="e">
        <f>C33*F6*F10</f>
        <v>#DIV/0!</v>
      </c>
    </row>
    <row r="34" spans="1:6" x14ac:dyDescent="0.3">
      <c r="A34" s="107" t="s">
        <v>183</v>
      </c>
      <c r="B34" s="8" t="s">
        <v>112</v>
      </c>
      <c r="C34" s="70">
        <f>LandGEMOutputs!F42*2000</f>
        <v>0</v>
      </c>
      <c r="D34" s="71" t="e">
        <f>C34*D6*D10</f>
        <v>#DIV/0!</v>
      </c>
      <c r="E34" s="72" t="e">
        <f>C34*E6*E10</f>
        <v>#DIV/0!</v>
      </c>
      <c r="F34" s="72" t="e">
        <f>C34*F6*F10</f>
        <v>#DIV/0!</v>
      </c>
    </row>
    <row r="35" spans="1:6" x14ac:dyDescent="0.3">
      <c r="A35" s="11" t="s">
        <v>52</v>
      </c>
      <c r="B35" s="12" t="s">
        <v>113</v>
      </c>
      <c r="C35" s="73">
        <f>LandGEMOutputs!F43*2000</f>
        <v>0</v>
      </c>
      <c r="D35" s="74" t="e">
        <f>C35*D6*D10</f>
        <v>#DIV/0!</v>
      </c>
      <c r="E35" s="75" t="e">
        <f>C35*E6*E10</f>
        <v>#DIV/0!</v>
      </c>
      <c r="F35" s="75" t="e">
        <f>C35*F6*F10</f>
        <v>#DIV/0!</v>
      </c>
    </row>
    <row r="36" spans="1:6" x14ac:dyDescent="0.3">
      <c r="A36" s="110" t="s">
        <v>184</v>
      </c>
      <c r="B36" s="8" t="s">
        <v>114</v>
      </c>
      <c r="C36" s="70">
        <f>LandGEMOutputs!F47*2000</f>
        <v>0</v>
      </c>
      <c r="D36" s="71" t="e">
        <f>C36*D6*D10*(1-D9)</f>
        <v>#DIV/0!</v>
      </c>
      <c r="E36" s="72" t="e">
        <f>C36*E6*E10*(1-E9)</f>
        <v>#DIV/0!</v>
      </c>
      <c r="F36" s="72" t="e">
        <f>C36*F6*F10*(1-F9)</f>
        <v>#DIV/0!</v>
      </c>
    </row>
    <row r="37" spans="1:6" x14ac:dyDescent="0.3">
      <c r="A37" s="11" t="s">
        <v>58</v>
      </c>
      <c r="B37" s="12" t="s">
        <v>118</v>
      </c>
      <c r="C37" s="73">
        <f>IF(UserInputs!B9="YES",0,LandGEMOutputs!F50*2000)</f>
        <v>0</v>
      </c>
      <c r="D37" s="74" t="e">
        <f>C37*D6*D10</f>
        <v>#DIV/0!</v>
      </c>
      <c r="E37" s="75" t="e">
        <f>C37*E6*E10</f>
        <v>#DIV/0!</v>
      </c>
      <c r="F37" s="75" t="e">
        <f>C37*F6*F10</f>
        <v>#DIV/0!</v>
      </c>
    </row>
    <row r="38" spans="1:6" x14ac:dyDescent="0.3">
      <c r="A38" s="7" t="s">
        <v>59</v>
      </c>
      <c r="B38" s="8" t="s">
        <v>118</v>
      </c>
      <c r="C38" s="70">
        <f>IF(UserInputs!B9="YES",LandGEMOutputs!F51*2000,0)</f>
        <v>0</v>
      </c>
      <c r="D38" s="71" t="e">
        <f>C38*D6*D10</f>
        <v>#DIV/0!</v>
      </c>
      <c r="E38" s="72" t="e">
        <f>C38*E6*E10</f>
        <v>#DIV/0!</v>
      </c>
      <c r="F38" s="72" t="e">
        <f>C38*F6*F10</f>
        <v>#DIV/0!</v>
      </c>
    </row>
    <row r="39" spans="1:6" x14ac:dyDescent="0.3">
      <c r="A39" s="11" t="s">
        <v>60</v>
      </c>
      <c r="B39" s="12" t="s">
        <v>115</v>
      </c>
      <c r="C39" s="73">
        <f>LandGEMOutputs!F52*2000</f>
        <v>0</v>
      </c>
      <c r="D39" s="74" t="e">
        <f>C39*D6*D10</f>
        <v>#DIV/0!</v>
      </c>
      <c r="E39" s="75" t="e">
        <f>C39*E6*E10</f>
        <v>#DIV/0!</v>
      </c>
      <c r="F39" s="75" t="e">
        <f>C39*F6*F10</f>
        <v>#DIV/0!</v>
      </c>
    </row>
    <row r="40" spans="1:6" x14ac:dyDescent="0.3">
      <c r="A40" s="7" t="s">
        <v>61</v>
      </c>
      <c r="B40" s="8" t="s">
        <v>116</v>
      </c>
      <c r="C40" s="70">
        <f>LandGEMOutputs!F53*2000</f>
        <v>0</v>
      </c>
      <c r="D40" s="71" t="e">
        <f>C40*D6*D10</f>
        <v>#DIV/0!</v>
      </c>
      <c r="E40" s="72" t="e">
        <f>C40*E6*E10</f>
        <v>#DIV/0!</v>
      </c>
      <c r="F40" s="72" t="e">
        <f>C40*F6*F10</f>
        <v>#DIV/0!</v>
      </c>
    </row>
    <row r="41" spans="1:6" x14ac:dyDescent="0.3">
      <c r="A41" s="11" t="s">
        <v>62</v>
      </c>
      <c r="B41" s="12" t="s">
        <v>117</v>
      </c>
      <c r="C41" s="73">
        <f>LandGEMOutputs!F54*2000</f>
        <v>0</v>
      </c>
      <c r="D41" s="74" t="e">
        <f>C41*D6*D10</f>
        <v>#DIV/0!</v>
      </c>
      <c r="E41" s="75" t="e">
        <f>C41*E6*E10</f>
        <v>#DIV/0!</v>
      </c>
      <c r="F41" s="75" t="e">
        <f>C41*F6*F10</f>
        <v>#DIV/0!</v>
      </c>
    </row>
    <row r="42" spans="1:6" ht="15" thickBot="1" x14ac:dyDescent="0.35">
      <c r="A42" s="107" t="s">
        <v>185</v>
      </c>
      <c r="B42" s="8" t="s">
        <v>136</v>
      </c>
      <c r="C42" s="76">
        <f>LandGEMOutputs!F55*2000</f>
        <v>0</v>
      </c>
      <c r="D42" s="77" t="e">
        <f>C42*D6*D10</f>
        <v>#DIV/0!</v>
      </c>
      <c r="E42" s="78" t="e">
        <f>C42*E6*E10</f>
        <v>#DIV/0!</v>
      </c>
      <c r="F42" s="78" t="e">
        <f>C42*F6*F10</f>
        <v>#DIV/0!</v>
      </c>
    </row>
    <row r="43" spans="1:6" ht="15" thickBot="1" x14ac:dyDescent="0.35">
      <c r="A43" s="176" t="s">
        <v>67</v>
      </c>
      <c r="B43" s="177"/>
      <c r="C43" s="79">
        <f>SUM(C13:C42)</f>
        <v>0</v>
      </c>
      <c r="D43" s="80" t="e">
        <f>SUM(D13:D42)</f>
        <v>#DIV/0!</v>
      </c>
      <c r="E43" s="80" t="e">
        <f>SUM(E13:E42)</f>
        <v>#DIV/0!</v>
      </c>
      <c r="F43" s="80" t="e">
        <f>SUM(F13:F42)</f>
        <v>#DIV/0!</v>
      </c>
    </row>
    <row r="44" spans="1:6" ht="96.75" customHeight="1" x14ac:dyDescent="0.3">
      <c r="A44" s="109" t="s">
        <v>187</v>
      </c>
    </row>
    <row r="45" spans="1:6" ht="72" x14ac:dyDescent="0.3">
      <c r="A45" s="108" t="s">
        <v>186</v>
      </c>
    </row>
  </sheetData>
  <sheetProtection algorithmName="SHA-512" hashValue="ZuDUIjgcsoKpw+B7I0cNZzgdFbiLIT7iDn/TjnIM6Ossp+FYwtTSxpyRo4vipzf4ht57RXPzctafiE7gWH6jHA==" saltValue="1Qr7YMbBNaj2tRvlB1ndRg==" spinCount="100000" sheet="1"/>
  <protectedRanges>
    <protectedRange sqref="D4:F5" name="UPDATES"/>
  </protectedRanges>
  <mergeCells count="7">
    <mergeCell ref="F11:F12"/>
    <mergeCell ref="A43:B43"/>
    <mergeCell ref="A11:A12"/>
    <mergeCell ref="B11:B12"/>
    <mergeCell ref="C11:C12"/>
    <mergeCell ref="D11:D12"/>
    <mergeCell ref="E11:E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3FD929B68D1349B2FD8B8BB09E9956" ma:contentTypeVersion="15" ma:contentTypeDescription="Create a new document." ma:contentTypeScope="" ma:versionID="ea3d23b45fdd2e94e559e5e35dc68424">
  <xsd:schema xmlns:xsd="http://www.w3.org/2001/XMLSchema" xmlns:xs="http://www.w3.org/2001/XMLSchema" xmlns:p="http://schemas.microsoft.com/office/2006/metadata/properties" xmlns:ns2="63007f55-747b-409a-a62e-21e8ca17fe88" xmlns:ns3="0cc04465-3a32-441e-b261-c6235bbcb056" targetNamespace="http://schemas.microsoft.com/office/2006/metadata/properties" ma:root="true" ma:fieldsID="c0f71b70bab2c2a28cf4c2a1601d78ac" ns2:_="" ns3:_="">
    <xsd:import namespace="63007f55-747b-409a-a62e-21e8ca17fe88"/>
    <xsd:import namespace="0cc04465-3a32-441e-b261-c6235bbcb05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007f55-747b-409a-a62e-21e8ca17f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b365fb9-4409-4865-b39e-e514932e28e3"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c04465-3a32-441e-b261-c6235bbcb05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bad245c-b34a-434b-8fa4-47132c076ae2}" ma:internalName="TaxCatchAll" ma:showField="CatchAllData" ma:web="0cc04465-3a32-441e-b261-c6235bbcb05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cc04465-3a32-441e-b261-c6235bbcb056" xsi:nil="true"/>
    <lcf76f155ced4ddcb4097134ff3c332f xmlns="63007f55-747b-409a-a62e-21e8ca17fe8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CA43B8-E9C3-455E-BE41-46E93752C9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007f55-747b-409a-a62e-21e8ca17fe88"/>
    <ds:schemaRef ds:uri="0cc04465-3a32-441e-b261-c6235bbcb0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B4D92C-EC4C-485F-B2F3-DD5FC9003A06}">
  <ds:schemaRefs>
    <ds:schemaRef ds:uri="http://schemas.microsoft.com/office/2006/metadata/properties"/>
    <ds:schemaRef ds:uri="http://schemas.microsoft.com/office/infopath/2007/PartnerControls"/>
    <ds:schemaRef ds:uri="0cc04465-3a32-441e-b261-c6235bbcb056"/>
    <ds:schemaRef ds:uri="63007f55-747b-409a-a62e-21e8ca17fe88"/>
  </ds:schemaRefs>
</ds:datastoreItem>
</file>

<file path=customXml/itemProps3.xml><?xml version="1.0" encoding="utf-8"?>
<ds:datastoreItem xmlns:ds="http://schemas.openxmlformats.org/officeDocument/2006/customXml" ds:itemID="{BE36787A-D7C8-4EF7-9F94-3BC456B940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Tool Guidance</vt:lpstr>
      <vt:lpstr>UserInputs</vt:lpstr>
      <vt:lpstr>LandGEMOutputs</vt:lpstr>
      <vt:lpstr>EmissionsSummary_NoFlare</vt:lpstr>
      <vt:lpstr>EmissionsSummary__withOneFlare</vt:lpstr>
      <vt:lpstr>EmissSum_MultiFlares</vt:lpstr>
      <vt:lpstr>EmissSum_MultiFlaresINPUT</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Vander Veen, Josh</dc:creator>
  <cp:lastModifiedBy>Foster, Clare</cp:lastModifiedBy>
  <dcterms:created xsi:type="dcterms:W3CDTF">2024-12-04T21:38:44Z</dcterms:created>
  <dcterms:modified xsi:type="dcterms:W3CDTF">2025-10-30T19:48:07Z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0x010100553FD929B68D1349B2FD8B8BB09E9956</vt:lpwstr>
  </property>
</Properties>
</file>