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Planning\_Water_Quality_Standards\Triennial Review\2022 - 2025\Meetings\304(a) HHP\Meeting 2\"/>
    </mc:Choice>
  </mc:AlternateContent>
  <xr:revisionPtr revIDLastSave="0" documentId="13_ncr:1_{D61440DA-8CAF-476A-A3E6-E0BC3301A71D}" xr6:coauthVersionLast="47" xr6:coauthVersionMax="47" xr10:uidLastSave="{00000000-0000-0000-0000-000000000000}"/>
  <bookViews>
    <workbookView xWindow="23880" yWindow="1800" windowWidth="20730" windowHeight="11160" activeTab="2" xr2:uid="{59B52F35-8859-4C92-AA5B-66EAF0032C5F}"/>
  </bookViews>
  <sheets>
    <sheet name="Equations" sheetId="1" r:id="rId1"/>
    <sheet name="Noncarcinogens" sheetId="2" r:id="rId2"/>
    <sheet name="Carcinogen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 i="3" l="1"/>
  <c r="U4" i="3"/>
  <c r="T5" i="3"/>
  <c r="U5" i="3"/>
  <c r="T6" i="3"/>
  <c r="U6" i="3"/>
  <c r="T7" i="3"/>
  <c r="U7" i="3"/>
  <c r="T8" i="3"/>
  <c r="U8" i="3"/>
  <c r="T9" i="3"/>
  <c r="U9" i="3"/>
  <c r="T10" i="3"/>
  <c r="U10" i="3"/>
  <c r="T11" i="3"/>
  <c r="U11" i="3"/>
  <c r="T12" i="3"/>
  <c r="U12" i="3"/>
  <c r="T13" i="3"/>
  <c r="U13" i="3"/>
  <c r="T14" i="3"/>
  <c r="U14" i="3"/>
  <c r="T15" i="3"/>
  <c r="U15" i="3"/>
  <c r="T16" i="3"/>
  <c r="U16" i="3"/>
  <c r="T17" i="3"/>
  <c r="U17" i="3"/>
  <c r="T18" i="3"/>
  <c r="U18" i="3"/>
  <c r="T19" i="3"/>
  <c r="U19" i="3"/>
  <c r="U20" i="3"/>
  <c r="U21" i="3"/>
  <c r="T20" i="3"/>
  <c r="T21" i="3"/>
  <c r="U6" i="2"/>
  <c r="U7" i="2"/>
  <c r="W46" i="2" l="1"/>
  <c r="W37" i="2"/>
  <c r="W32" i="2"/>
  <c r="W31" i="2"/>
  <c r="W30" i="2"/>
  <c r="W29" i="2"/>
  <c r="W28" i="2"/>
  <c r="W27" i="2"/>
  <c r="W26" i="2"/>
  <c r="W22" i="2"/>
  <c r="W19" i="2"/>
  <c r="W14" i="2"/>
  <c r="W6" i="2"/>
  <c r="W7" i="2"/>
  <c r="W8" i="2"/>
  <c r="W9" i="2"/>
  <c r="W10" i="2"/>
  <c r="W11" i="2"/>
  <c r="W12" i="2"/>
  <c r="W13" i="2"/>
  <c r="W15" i="2"/>
  <c r="W16" i="2"/>
  <c r="W17" i="2"/>
  <c r="W18" i="2"/>
  <c r="W20" i="2"/>
  <c r="W21" i="2"/>
  <c r="W23" i="2"/>
  <c r="W24" i="2"/>
  <c r="W25" i="2"/>
  <c r="W33" i="2"/>
  <c r="W34" i="2"/>
  <c r="W35" i="2"/>
  <c r="W36" i="2"/>
  <c r="W38" i="2"/>
  <c r="W39" i="2"/>
  <c r="W40" i="2"/>
  <c r="W41" i="2"/>
  <c r="W42" i="2"/>
  <c r="W43" i="2"/>
  <c r="W44" i="2"/>
  <c r="W45" i="2"/>
  <c r="W47" i="2"/>
  <c r="W48" i="2"/>
  <c r="W49" i="2"/>
  <c r="W5" i="2"/>
  <c r="V39" i="2"/>
  <c r="V36" i="2"/>
  <c r="V46" i="2"/>
  <c r="V37" i="2"/>
  <c r="V32" i="2"/>
  <c r="V31" i="2"/>
  <c r="V30" i="2"/>
  <c r="V29" i="2"/>
  <c r="V28" i="2"/>
  <c r="V27" i="2"/>
  <c r="V26" i="2"/>
  <c r="V22" i="2"/>
  <c r="V19" i="2"/>
  <c r="V14" i="2"/>
  <c r="V6" i="2"/>
  <c r="V7" i="2"/>
  <c r="V8" i="2"/>
  <c r="V9" i="2"/>
  <c r="V10" i="2"/>
  <c r="V11" i="2"/>
  <c r="V12" i="2"/>
  <c r="V13" i="2"/>
  <c r="V15" i="2"/>
  <c r="V16" i="2"/>
  <c r="V17" i="2"/>
  <c r="V18" i="2"/>
  <c r="V20" i="2"/>
  <c r="V21" i="2"/>
  <c r="V23" i="2"/>
  <c r="V24" i="2"/>
  <c r="V25" i="2"/>
  <c r="V33" i="2"/>
  <c r="V34" i="2"/>
  <c r="V35" i="2"/>
  <c r="V38" i="2"/>
  <c r="V40" i="2"/>
  <c r="V41" i="2"/>
  <c r="V42" i="2"/>
  <c r="V43" i="2"/>
  <c r="V44" i="2"/>
  <c r="V45" i="2"/>
  <c r="V47" i="2"/>
  <c r="V48" i="2"/>
  <c r="V49" i="2"/>
  <c r="V5" i="2"/>
  <c r="U39" i="2"/>
  <c r="U36" i="2"/>
  <c r="U46" i="2"/>
  <c r="U37" i="2"/>
  <c r="U32" i="2"/>
  <c r="U31" i="2"/>
  <c r="U30" i="2"/>
  <c r="U29" i="2"/>
  <c r="U28" i="2"/>
  <c r="U27" i="2"/>
  <c r="U26" i="2"/>
  <c r="U22" i="2"/>
  <c r="U19" i="2"/>
  <c r="U14" i="2"/>
  <c r="U8" i="2"/>
  <c r="U9" i="2"/>
  <c r="U10" i="2"/>
  <c r="U11" i="2"/>
  <c r="U12" i="2"/>
  <c r="U13" i="2"/>
  <c r="U15" i="2"/>
  <c r="U16" i="2"/>
  <c r="U17" i="2"/>
  <c r="U18" i="2"/>
  <c r="U20" i="2"/>
  <c r="U21" i="2"/>
  <c r="U23" i="2"/>
  <c r="U24" i="2"/>
  <c r="U25" i="2"/>
  <c r="U33" i="2"/>
  <c r="U34" i="2"/>
  <c r="U35" i="2"/>
  <c r="U38" i="2"/>
  <c r="U40" i="2"/>
  <c r="U41" i="2"/>
  <c r="U42" i="2"/>
  <c r="U43" i="2"/>
  <c r="U44" i="2"/>
  <c r="U45" i="2"/>
  <c r="U47" i="2"/>
  <c r="U48" i="2"/>
  <c r="U49" i="2"/>
  <c r="U5" i="2"/>
  <c r="U52" i="3"/>
  <c r="U47" i="3"/>
  <c r="T47" i="3"/>
  <c r="U43" i="3"/>
  <c r="U32" i="3"/>
  <c r="U44" i="3"/>
  <c r="U36" i="3"/>
  <c r="U35" i="3"/>
  <c r="U31" i="3"/>
  <c r="U28" i="3"/>
  <c r="U26" i="3"/>
  <c r="U25" i="3"/>
  <c r="U24" i="3"/>
  <c r="U23" i="3"/>
  <c r="T52" i="3"/>
  <c r="T43" i="3"/>
  <c r="T42" i="3"/>
  <c r="T32" i="3"/>
  <c r="U22" i="3"/>
  <c r="U27" i="3"/>
  <c r="U29" i="3"/>
  <c r="U30" i="3"/>
  <c r="U33" i="3"/>
  <c r="U34" i="3"/>
  <c r="U37" i="3"/>
  <c r="U38" i="3"/>
  <c r="U39" i="3"/>
  <c r="U40" i="3"/>
  <c r="U41" i="3"/>
  <c r="U42" i="3"/>
  <c r="U45" i="3"/>
  <c r="U46" i="3"/>
  <c r="U48" i="3"/>
  <c r="U49" i="3"/>
  <c r="U50" i="3"/>
  <c r="U51" i="3"/>
  <c r="U53" i="3"/>
  <c r="T44" i="3"/>
  <c r="T36" i="3"/>
  <c r="T35" i="3"/>
  <c r="S4" i="3"/>
  <c r="T24" i="3"/>
  <c r="T28" i="3"/>
  <c r="T31" i="3"/>
  <c r="T29" i="3"/>
  <c r="T30" i="3"/>
  <c r="T33" i="3"/>
  <c r="T34" i="3"/>
  <c r="T37" i="3"/>
  <c r="T38" i="3"/>
  <c r="T39" i="3"/>
  <c r="T40" i="3"/>
  <c r="T41" i="3"/>
  <c r="T45" i="3"/>
  <c r="T46" i="3"/>
  <c r="T48" i="3"/>
  <c r="T49" i="3"/>
  <c r="T50" i="3"/>
  <c r="T51" i="3"/>
  <c r="T53" i="3"/>
  <c r="T27" i="3"/>
  <c r="T25" i="3"/>
  <c r="T26" i="3"/>
  <c r="T23" i="3"/>
  <c r="T22" i="3"/>
  <c r="S52" i="3"/>
  <c r="S47" i="3"/>
  <c r="S46" i="3"/>
  <c r="S43" i="3"/>
  <c r="S42" i="3"/>
  <c r="S32" i="3"/>
  <c r="S9" i="3"/>
  <c r="S44" i="3"/>
  <c r="S36" i="3"/>
  <c r="S35" i="3"/>
  <c r="S31" i="3"/>
  <c r="S28" i="3"/>
  <c r="S24" i="3"/>
  <c r="S25" i="3"/>
  <c r="S26" i="3"/>
  <c r="S23" i="3"/>
  <c r="S21" i="3"/>
  <c r="S7" i="3"/>
  <c r="S8" i="3"/>
  <c r="S10" i="3"/>
  <c r="S11" i="3"/>
  <c r="S12" i="3"/>
  <c r="S13" i="3"/>
  <c r="S14" i="3"/>
  <c r="S15" i="3"/>
  <c r="S16" i="3"/>
  <c r="S17" i="3"/>
  <c r="S18" i="3"/>
  <c r="S19" i="3"/>
  <c r="S20" i="3"/>
  <c r="S22" i="3"/>
  <c r="S27" i="3"/>
  <c r="S29" i="3"/>
  <c r="S30" i="3"/>
  <c r="S33" i="3"/>
  <c r="S34" i="3"/>
  <c r="S37" i="3"/>
  <c r="S38" i="3"/>
  <c r="S39" i="3"/>
  <c r="S40" i="3"/>
  <c r="S41" i="3"/>
  <c r="S45" i="3"/>
  <c r="S48" i="3"/>
  <c r="S49" i="3"/>
  <c r="S50" i="3"/>
  <c r="S51" i="3"/>
  <c r="S53" i="3"/>
  <c r="S5" i="3"/>
  <c r="S6" i="3"/>
</calcChain>
</file>

<file path=xl/sharedStrings.xml><?xml version="1.0" encoding="utf-8"?>
<sst xmlns="http://schemas.openxmlformats.org/spreadsheetml/2006/main" count="289" uniqueCount="169">
  <si>
    <t>POD</t>
  </si>
  <si>
    <t>Point of Departure</t>
  </si>
  <si>
    <t>UF</t>
  </si>
  <si>
    <t>Uncertainty Factor</t>
  </si>
  <si>
    <t>RSC</t>
  </si>
  <si>
    <t>Relative Source Contribution</t>
  </si>
  <si>
    <t>BW</t>
  </si>
  <si>
    <t>Body Weight</t>
  </si>
  <si>
    <t>DI</t>
  </si>
  <si>
    <t>Drinking water Intake</t>
  </si>
  <si>
    <t>FI</t>
  </si>
  <si>
    <t>Fish Intake at trophic level</t>
  </si>
  <si>
    <t>BAF</t>
  </si>
  <si>
    <t>Bioaccumulation Factor at trophic level</t>
  </si>
  <si>
    <t>RfD</t>
  </si>
  <si>
    <t>RSD</t>
  </si>
  <si>
    <t>Reference Dose</t>
  </si>
  <si>
    <t>Risk Specific Dose = Cancer Slope Factor/Cancer Risk Rate</t>
  </si>
  <si>
    <t>Variable List</t>
  </si>
  <si>
    <t>Bodyweight (kg)</t>
  </si>
  <si>
    <t>Drinking Water Intake (L/d)</t>
  </si>
  <si>
    <t>CRR</t>
  </si>
  <si>
    <t>Cancer Risk Rate</t>
  </si>
  <si>
    <t>Fish Intake (kg/d)</t>
  </si>
  <si>
    <t>TL 2</t>
  </si>
  <si>
    <t>TL 3</t>
  </si>
  <si>
    <t>TL 4</t>
  </si>
  <si>
    <r>
      <t xml:space="preserve">EPA NHANES Analysis </t>
    </r>
    <r>
      <rPr>
        <b/>
        <u/>
        <sz val="11"/>
        <color theme="1"/>
        <rFont val="Calibri"/>
        <family val="2"/>
        <scheme val="minor"/>
      </rPr>
      <t>Midwest  Fish Intake</t>
    </r>
    <r>
      <rPr>
        <sz val="11"/>
        <color theme="1"/>
        <rFont val="Calibri"/>
        <family val="2"/>
        <scheme val="minor"/>
      </rPr>
      <t xml:space="preserve"> Values </t>
    </r>
  </si>
  <si>
    <r>
      <t xml:space="preserve">EPA NHANES Analysis </t>
    </r>
    <r>
      <rPr>
        <b/>
        <u/>
        <sz val="11"/>
        <color theme="1"/>
        <rFont val="Calibri"/>
        <family val="2"/>
        <scheme val="minor"/>
      </rPr>
      <t>Inland Midwest Fish Intake</t>
    </r>
    <r>
      <rPr>
        <sz val="11"/>
        <color theme="1"/>
        <rFont val="Calibri"/>
        <family val="2"/>
        <scheme val="minor"/>
      </rPr>
      <t xml:space="preserve"> Values</t>
    </r>
  </si>
  <si>
    <t>Chemical</t>
  </si>
  <si>
    <t>CAS</t>
  </si>
  <si>
    <t>CSF (mg/kg-d)</t>
  </si>
  <si>
    <t>RfD (mg/kg-d)</t>
  </si>
  <si>
    <t>TL2 (L/kg)</t>
  </si>
  <si>
    <t>TL3 (L/kg)</t>
  </si>
  <si>
    <t>TL4 (L/kg)</t>
  </si>
  <si>
    <t>Bio-concentration Factor (L/kg)</t>
  </si>
  <si>
    <t>1,1,1-Trichloroethane</t>
  </si>
  <si>
    <t>ND</t>
  </si>
  <si>
    <t>1,1-Dichloroethylene</t>
  </si>
  <si>
    <t>1,2,4,5-Tetrachlorobenzene</t>
  </si>
  <si>
    <t>1,2-Dichlorobenzene (ortho-Dichlorobenzene)</t>
  </si>
  <si>
    <t>1,3-Dichlorobenzene (meta-Dichlorobenzene)</t>
  </si>
  <si>
    <t>1,4-Dichlorobenzene (para-Dichlorobenzene)</t>
  </si>
  <si>
    <t>2,4,5-Trichlorophenol</t>
  </si>
  <si>
    <t>2,4-Dichlorophenol</t>
  </si>
  <si>
    <t>2,4-Dimethylphenol</t>
  </si>
  <si>
    <t>2,4-Dinitrophenol</t>
  </si>
  <si>
    <t>4.4*</t>
  </si>
  <si>
    <t>2-Chloronaphthalene</t>
  </si>
  <si>
    <t>2-Chlorophenol</t>
  </si>
  <si>
    <t>2-Methyl-4,6-Dintrophenol</t>
  </si>
  <si>
    <t>3-Methyl-4-Chlorophenol</t>
  </si>
  <si>
    <t>Acenaphthene</t>
  </si>
  <si>
    <t>510*</t>
  </si>
  <si>
    <t>Acrolein</t>
  </si>
  <si>
    <t>alpha-Endosulfan (Endosulfan)</t>
  </si>
  <si>
    <t>Anthracene</t>
  </si>
  <si>
    <t>610*</t>
  </si>
  <si>
    <t>beta-Endosulfan (Endosulfan)</t>
  </si>
  <si>
    <t>Bis-2-Chloroisopropyl Ether (bis 2 chloro 1 methylethyl ether)</t>
  </si>
  <si>
    <t>Chlorobenzene</t>
  </si>
  <si>
    <t>Chlorophenoxy Herbicide (2,4,5-TP) [silvex]</t>
  </si>
  <si>
    <t>58*</t>
  </si>
  <si>
    <t>Chlorophenoxy Herbicide (2,4-D)</t>
  </si>
  <si>
    <t>13*</t>
  </si>
  <si>
    <t>Cyanide</t>
  </si>
  <si>
    <t>1**</t>
  </si>
  <si>
    <t>Diethyl Phthalate</t>
  </si>
  <si>
    <t>920*</t>
  </si>
  <si>
    <t>Dimethyl Phthalate</t>
  </si>
  <si>
    <t>4000*</t>
  </si>
  <si>
    <t>Di-n-Butyl Phthalate</t>
  </si>
  <si>
    <t>2900*</t>
  </si>
  <si>
    <t>Dinitrophenols</t>
  </si>
  <si>
    <t>1.51**</t>
  </si>
  <si>
    <t>Endosulfan Sulfate</t>
  </si>
  <si>
    <t>Endrin</t>
  </si>
  <si>
    <t>Endrin Aldehyde</t>
  </si>
  <si>
    <t>Ethylbenzene</t>
  </si>
  <si>
    <t>Fluoranthene</t>
  </si>
  <si>
    <t>1500*</t>
  </si>
  <si>
    <t>Fluorene</t>
  </si>
  <si>
    <t>gamma-Hexachlorocyclohexane (gamma-BHC; Lindane)</t>
  </si>
  <si>
    <t>Hexachlorocyclopentadiene</t>
  </si>
  <si>
    <t>Methoxychlor</t>
  </si>
  <si>
    <t>Methyl Bromide (Bromomethane)</t>
  </si>
  <si>
    <t>Nitrobenzene</t>
  </si>
  <si>
    <t>Pentachlorobenzene</t>
  </si>
  <si>
    <t>Phenol (Coldwater Aquatic Habitat)</t>
  </si>
  <si>
    <t>Pyrene</t>
  </si>
  <si>
    <t>860*</t>
  </si>
  <si>
    <t>Toluene</t>
  </si>
  <si>
    <t>trans-1,2-Dichloroethylene</t>
  </si>
  <si>
    <t>Trichloromethane (Chloroform)</t>
  </si>
  <si>
    <t>Fish Intake (g/d)</t>
  </si>
  <si>
    <t>Risk Specific Dose</t>
  </si>
  <si>
    <t>CRR/CSF</t>
  </si>
  <si>
    <t>FI by Trophic Level (TL), (kg/d)</t>
  </si>
  <si>
    <t>1,1,2,2-Tetrachloroethane</t>
  </si>
  <si>
    <t>1,1,2-Trichloroethane</t>
  </si>
  <si>
    <t>1,2,4-Trichlorobenzene</t>
  </si>
  <si>
    <t>1,2-Dichloroethane</t>
  </si>
  <si>
    <t>1,2-Dichloropropane</t>
  </si>
  <si>
    <t>1,2-Diphenylhydrazine</t>
  </si>
  <si>
    <t>1,3-Dichloropropene (Dichloropropene)</t>
  </si>
  <si>
    <t>2,4,6-Trichlorophenol</t>
  </si>
  <si>
    <t>2,4-Dinitrotoluene</t>
  </si>
  <si>
    <t>3,3’-Dichlorobenzidine</t>
  </si>
  <si>
    <t>4-4’-Dichlorodiphenyldichloroethane (DDD)</t>
  </si>
  <si>
    <t>4-4’-Dichlorodiphenyldichloroethylene (DDE)</t>
  </si>
  <si>
    <t>4-4’-Dichlorodiphenyltrichloroethane (DDT)</t>
  </si>
  <si>
    <t>Acrylonitrile (2-propenenitrile)</t>
  </si>
  <si>
    <t>Aldrin</t>
  </si>
  <si>
    <t>alpha-Hexachlorocyclohexane (alpha-BHC)</t>
  </si>
  <si>
    <t>Benzidine (4,4’-diaminobiphenyl)</t>
  </si>
  <si>
    <t>Benzo(a)anthracene</t>
  </si>
  <si>
    <t>3900*</t>
  </si>
  <si>
    <t>Benzo(a)pyrene</t>
  </si>
  <si>
    <t>Benzo(b)fluoranthene</t>
  </si>
  <si>
    <t>Benzo(k)fluoranthene</t>
  </si>
  <si>
    <t>beta-Hexachlorocyclohexane (beta-BHC)</t>
  </si>
  <si>
    <t>Bis (2-Ethylhexyl) Phthalate</t>
  </si>
  <si>
    <t>710*</t>
  </si>
  <si>
    <t>Bis-2-Chloroethyl Ether</t>
  </si>
  <si>
    <t>Bis-Chloromethyl Ether</t>
  </si>
  <si>
    <t>Butylbenzyl Phthalate</t>
  </si>
  <si>
    <t>19000*</t>
  </si>
  <si>
    <t>Carbon Tetrachloride (Tetrachloromethane)</t>
  </si>
  <si>
    <t>Chlordane</t>
  </si>
  <si>
    <t>Chlorodibromomethane</t>
  </si>
  <si>
    <t>Chrysene</t>
  </si>
  <si>
    <t>Dibenzo(a,h)anthracene</t>
  </si>
  <si>
    <t>Dichlorobromomethane</t>
  </si>
  <si>
    <t>Dieldrin</t>
  </si>
  <si>
    <t>Heptachlor</t>
  </si>
  <si>
    <t>Heptachlor Epoxide</t>
  </si>
  <si>
    <t>Hexachlorobenzene</t>
  </si>
  <si>
    <t>Hexachlorobutadiene</t>
  </si>
  <si>
    <t>Hexachloroethane</t>
  </si>
  <si>
    <t>Indeno(1,2,3-cd)pyrene</t>
  </si>
  <si>
    <t>Isophorone</t>
  </si>
  <si>
    <t>Methylene Chloride (Dichloromethane)</t>
  </si>
  <si>
    <t>Pentachlorophenol</t>
  </si>
  <si>
    <t>Technical- Hexachlorocyclohexane</t>
  </si>
  <si>
    <t>Tetrachloroethylene</t>
  </si>
  <si>
    <t>Toxaphene</t>
  </si>
  <si>
    <t>Tribromomethane (Bromoform)</t>
  </si>
  <si>
    <t>Trichloroethylene</t>
  </si>
  <si>
    <t>Vinyl Chloride</t>
  </si>
  <si>
    <t>National Default (22g/day)</t>
  </si>
  <si>
    <t>Midwest (14.3g/day)</t>
  </si>
  <si>
    <t>Inland Midwest (13.5g/day)</t>
  </si>
  <si>
    <t>Values</t>
  </si>
  <si>
    <t>Current MO Criteria</t>
  </si>
  <si>
    <t>Current MO AQL Acute</t>
  </si>
  <si>
    <t>Current MO AQL Chronic</t>
  </si>
  <si>
    <t>No Criteria</t>
  </si>
  <si>
    <t>Table A2</t>
  </si>
  <si>
    <t>CAS #</t>
  </si>
  <si>
    <t>National Default (22g/d)</t>
  </si>
  <si>
    <t>Possible Affected Permits (#)</t>
  </si>
  <si>
    <t>Potential criteria with varying fish consumption rates</t>
  </si>
  <si>
    <t>Potential Human Health Criteria Based on Varying Fish Consumption Rates</t>
  </si>
  <si>
    <t>KEY</t>
  </si>
  <si>
    <t>More Stringent than Current MO Criteria</t>
  </si>
  <si>
    <t>Less Stringent than Current MO Criteria</t>
  </si>
  <si>
    <t>Equal To Current MO Criteria</t>
  </si>
  <si>
    <t>Benzene***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</si>
</sst>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5" x14ac:knownFonts="1">
    <font>
      <sz val="11"/>
      <color theme="1"/>
      <name val="Calibri"/>
      <family val="2"/>
      <scheme val="minor"/>
    </font>
    <font>
      <sz val="11"/>
      <color theme="1"/>
      <name val="Calibri"/>
      <family val="2"/>
      <scheme val="minor"/>
    </font>
    <font>
      <b/>
      <u/>
      <sz val="11"/>
      <color theme="1"/>
      <name val="Calibri"/>
      <family val="2"/>
      <scheme val="minor"/>
    </font>
    <font>
      <sz val="11"/>
      <color theme="1"/>
      <name val="Segoe UI"/>
      <family val="2"/>
    </font>
    <font>
      <sz val="11"/>
      <color theme="1"/>
      <name val="Times New Roman"/>
      <family val="1"/>
    </font>
  </fonts>
  <fills count="8">
    <fill>
      <patternFill patternType="none"/>
    </fill>
    <fill>
      <patternFill patternType="gray125"/>
    </fill>
    <fill>
      <patternFill patternType="solid">
        <fgColor theme="2" tint="-9.9978637043366805E-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15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3" borderId="11" xfId="0" applyFill="1" applyBorder="1"/>
    <xf numFmtId="0" fontId="0" fillId="3" borderId="12" xfId="0" applyFill="1" applyBorder="1"/>
    <xf numFmtId="0" fontId="0" fillId="0" borderId="8" xfId="0" applyBorder="1" applyAlignment="1">
      <alignment horizontal="center" vertical="center" wrapText="1"/>
    </xf>
    <xf numFmtId="0" fontId="3" fillId="0" borderId="3" xfId="0" applyFont="1" applyBorder="1"/>
    <xf numFmtId="0" fontId="3" fillId="0" borderId="7" xfId="0" applyFont="1" applyBorder="1"/>
    <xf numFmtId="0" fontId="0" fillId="0" borderId="7" xfId="0" applyBorder="1"/>
    <xf numFmtId="0" fontId="3" fillId="0" borderId="5" xfId="0" applyFont="1" applyBorder="1"/>
    <xf numFmtId="0" fontId="3" fillId="0" borderId="13" xfId="0" applyFont="1" applyBorder="1"/>
    <xf numFmtId="0" fontId="0" fillId="0" borderId="13" xfId="0" applyBorder="1" applyAlignment="1">
      <alignment horizontal="center" vertical="center"/>
    </xf>
    <xf numFmtId="0" fontId="0" fillId="0" borderId="13" xfId="0" applyBorder="1"/>
    <xf numFmtId="43" fontId="0" fillId="0" borderId="0" xfId="1" applyFont="1"/>
    <xf numFmtId="43" fontId="0" fillId="0" borderId="7" xfId="1" applyFont="1" applyBorder="1"/>
    <xf numFmtId="43" fontId="0" fillId="0" borderId="13" xfId="1" applyFont="1" applyBorder="1"/>
    <xf numFmtId="0" fontId="4" fillId="0" borderId="0" xfId="0" applyFont="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3" fillId="0" borderId="13" xfId="0" applyFont="1" applyBorder="1" applyAlignment="1">
      <alignment horizontal="center" vertical="center"/>
    </xf>
    <xf numFmtId="0" fontId="0" fillId="0" borderId="0" xfId="1" applyNumberFormat="1" applyFont="1"/>
    <xf numFmtId="0" fontId="0" fillId="0" borderId="7" xfId="0" applyBorder="1" applyAlignment="1">
      <alignment horizontal="center"/>
    </xf>
    <xf numFmtId="0" fontId="0" fillId="0" borderId="7" xfId="0" applyBorder="1" applyAlignment="1">
      <alignment horizontal="center" vertical="center"/>
    </xf>
    <xf numFmtId="0" fontId="3" fillId="0" borderId="7" xfId="0" applyFont="1" applyBorder="1" applyAlignment="1">
      <alignment horizontal="center" vertical="center"/>
    </xf>
    <xf numFmtId="0" fontId="0" fillId="0" borderId="7" xfId="1" applyNumberFormat="1" applyFont="1" applyBorder="1"/>
    <xf numFmtId="164" fontId="0" fillId="0" borderId="7" xfId="1" applyNumberFormat="1" applyFont="1" applyBorder="1"/>
    <xf numFmtId="2" fontId="0" fillId="0" borderId="7" xfId="1" applyNumberFormat="1" applyFont="1" applyBorder="1"/>
    <xf numFmtId="0" fontId="0" fillId="0" borderId="13" xfId="1" applyNumberFormat="1" applyFont="1" applyBorder="1"/>
    <xf numFmtId="0" fontId="3" fillId="0" borderId="21" xfId="0" applyFont="1" applyBorder="1"/>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5" xfId="0" applyBorder="1" applyAlignment="1">
      <alignment horizontal="center" vertical="center" wrapText="1"/>
    </xf>
    <xf numFmtId="0" fontId="0" fillId="0" borderId="25" xfId="0" applyFill="1" applyBorder="1" applyAlignment="1">
      <alignment horizontal="center" vertical="center" wrapText="1"/>
    </xf>
    <xf numFmtId="43" fontId="0" fillId="0" borderId="4" xfId="1" applyFont="1" applyBorder="1"/>
    <xf numFmtId="43" fontId="0" fillId="0" borderId="6" xfId="1" applyFont="1" applyBorder="1"/>
    <xf numFmtId="0" fontId="0" fillId="0" borderId="22" xfId="0" applyBorder="1"/>
    <xf numFmtId="43" fontId="0" fillId="0" borderId="22" xfId="1" applyFont="1" applyBorder="1"/>
    <xf numFmtId="43" fontId="0" fillId="0" borderId="23" xfId="1" applyFont="1" applyBorder="1"/>
    <xf numFmtId="0" fontId="0" fillId="0" borderId="26" xfId="0" applyFill="1" applyBorder="1" applyAlignment="1">
      <alignment horizontal="center" vertical="center" wrapText="1"/>
    </xf>
    <xf numFmtId="0" fontId="0" fillId="0" borderId="21" xfId="0" applyBorder="1" applyAlignment="1">
      <alignment horizontal="center" vertical="center"/>
    </xf>
    <xf numFmtId="0" fontId="0" fillId="0" borderId="2" xfId="0" applyBorder="1" applyAlignment="1">
      <alignment horizontal="center" vertical="center" wrapText="1"/>
    </xf>
    <xf numFmtId="0" fontId="3" fillId="0" borderId="4" xfId="0" applyFont="1" applyBorder="1"/>
    <xf numFmtId="3" fontId="3" fillId="0" borderId="4" xfId="0" applyNumberFormat="1" applyFont="1" applyBorder="1"/>
    <xf numFmtId="3" fontId="3" fillId="0" borderId="7" xfId="0" applyNumberFormat="1" applyFont="1" applyBorder="1"/>
    <xf numFmtId="0" fontId="3" fillId="0" borderId="6" xfId="0" applyFont="1" applyBorder="1"/>
    <xf numFmtId="0" fontId="0" fillId="0" borderId="4" xfId="0" applyBorder="1"/>
    <xf numFmtId="0" fontId="0" fillId="0" borderId="6" xfId="0" applyBorder="1"/>
    <xf numFmtId="0" fontId="3" fillId="0" borderId="22" xfId="0" applyFont="1" applyBorder="1" applyAlignment="1">
      <alignment horizontal="center" vertical="center"/>
    </xf>
    <xf numFmtId="0" fontId="0" fillId="4" borderId="7" xfId="0" applyFill="1" applyBorder="1" applyAlignment="1">
      <alignment horizontal="center" vertical="center"/>
    </xf>
    <xf numFmtId="0" fontId="0" fillId="4" borderId="13" xfId="0" applyFill="1" applyBorder="1" applyAlignment="1">
      <alignment horizontal="center" vertical="center"/>
    </xf>
    <xf numFmtId="0" fontId="0" fillId="4" borderId="25" xfId="0" applyFill="1" applyBorder="1" applyAlignment="1">
      <alignment horizontal="center" vertical="center" wrapText="1"/>
    </xf>
    <xf numFmtId="0" fontId="0" fillId="4" borderId="7" xfId="0" applyFill="1" applyBorder="1"/>
    <xf numFmtId="0" fontId="0" fillId="4" borderId="13" xfId="0" applyFill="1" applyBorder="1"/>
    <xf numFmtId="0" fontId="0" fillId="4" borderId="22" xfId="0" applyFill="1" applyBorder="1" applyAlignment="1">
      <alignment horizontal="center" vertical="center"/>
    </xf>
    <xf numFmtId="0" fontId="0" fillId="0" borderId="22" xfId="1" applyNumberFormat="1" applyFont="1" applyBorder="1"/>
    <xf numFmtId="0" fontId="0" fillId="0" borderId="23" xfId="0" applyBorder="1"/>
    <xf numFmtId="0" fontId="0" fillId="0" borderId="26" xfId="0" applyBorder="1" applyAlignment="1">
      <alignment horizontal="center" vertical="center" wrapText="1"/>
    </xf>
    <xf numFmtId="0" fontId="3" fillId="0" borderId="7" xfId="0" applyFont="1" applyBorder="1" applyAlignment="1">
      <alignment horizontal="center" vertical="center"/>
    </xf>
    <xf numFmtId="43" fontId="0" fillId="0" borderId="0" xfId="1" applyFont="1" applyBorder="1" applyAlignment="1">
      <alignment horizontal="center" wrapText="1"/>
    </xf>
    <xf numFmtId="0" fontId="0" fillId="5" borderId="25" xfId="0" applyFill="1" applyBorder="1" applyAlignment="1">
      <alignment horizontal="center" vertical="center" wrapText="1"/>
    </xf>
    <xf numFmtId="0" fontId="0" fillId="5" borderId="22" xfId="0" applyFill="1" applyBorder="1" applyAlignment="1">
      <alignment horizontal="center" vertical="center"/>
    </xf>
    <xf numFmtId="0" fontId="0" fillId="5" borderId="7" xfId="0" applyFill="1" applyBorder="1" applyAlignment="1">
      <alignment horizontal="center" vertical="center"/>
    </xf>
    <xf numFmtId="0" fontId="0" fillId="5" borderId="7" xfId="0" applyFill="1" applyBorder="1"/>
    <xf numFmtId="2" fontId="0" fillId="5" borderId="7" xfId="0" applyNumberFormat="1" applyFill="1" applyBorder="1" applyAlignment="1">
      <alignment horizontal="center" vertical="center"/>
    </xf>
    <xf numFmtId="0" fontId="0" fillId="5" borderId="13" xfId="0" applyFill="1" applyBorder="1" applyAlignment="1">
      <alignment horizontal="center" vertical="center"/>
    </xf>
    <xf numFmtId="0" fontId="0" fillId="5" borderId="13" xfId="0" applyFill="1" applyBorder="1"/>
    <xf numFmtId="0" fontId="3" fillId="0" borderId="7" xfId="0" applyFont="1" applyFill="1" applyBorder="1" applyAlignment="1">
      <alignment horizontal="center" vertical="center"/>
    </xf>
    <xf numFmtId="0" fontId="0" fillId="0" borderId="8" xfId="0" applyBorder="1" applyAlignment="1">
      <alignment horizontal="center" vertical="center"/>
    </xf>
    <xf numFmtId="0" fontId="0" fillId="5" borderId="8" xfId="0" applyFill="1" applyBorder="1" applyAlignment="1">
      <alignment horizontal="center" vertical="center" wrapText="1"/>
    </xf>
    <xf numFmtId="0" fontId="0" fillId="5" borderId="8" xfId="0" applyFill="1" applyBorder="1" applyAlignment="1">
      <alignment horizontal="center" vertical="center"/>
    </xf>
    <xf numFmtId="0" fontId="0" fillId="4" borderId="8" xfId="0" applyFill="1" applyBorder="1" applyAlignment="1">
      <alignment horizontal="center" vertical="center" wrapText="1"/>
    </xf>
    <xf numFmtId="0" fontId="0" fillId="0" borderId="11" xfId="0" applyBorder="1" applyAlignment="1">
      <alignment horizontal="center" vertical="center" wrapText="1"/>
    </xf>
    <xf numFmtId="0" fontId="0" fillId="4" borderId="15"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0" xfId="1" applyNumberFormat="1" applyFont="1" applyBorder="1" applyAlignment="1">
      <alignment horizontal="center" wrapText="1"/>
    </xf>
    <xf numFmtId="0" fontId="0" fillId="4" borderId="22" xfId="1" applyNumberFormat="1" applyFont="1" applyFill="1" applyBorder="1"/>
    <xf numFmtId="0" fontId="0" fillId="4" borderId="7" xfId="1" applyNumberFormat="1" applyFont="1" applyFill="1" applyBorder="1"/>
    <xf numFmtId="2" fontId="0" fillId="4" borderId="7" xfId="1" applyNumberFormat="1" applyFont="1" applyFill="1" applyBorder="1"/>
    <xf numFmtId="0" fontId="0" fillId="4" borderId="13" xfId="1" applyNumberFormat="1" applyFont="1" applyFill="1" applyBorder="1"/>
    <xf numFmtId="0" fontId="0" fillId="5" borderId="0" xfId="0" applyFill="1"/>
    <xf numFmtId="0" fontId="0" fillId="0" borderId="31" xfId="0" applyBorder="1" applyAlignment="1">
      <alignment horizontal="center" vertical="center" wrapText="1"/>
    </xf>
    <xf numFmtId="43" fontId="0" fillId="4" borderId="30" xfId="1" applyFont="1" applyFill="1" applyBorder="1" applyAlignment="1">
      <alignment horizontal="center" vertical="center" wrapText="1"/>
    </xf>
    <xf numFmtId="0" fontId="0" fillId="0" borderId="24" xfId="1" applyNumberFormat="1" applyFont="1" applyFill="1" applyBorder="1" applyAlignment="1">
      <alignment horizontal="center" vertical="center" wrapText="1"/>
    </xf>
    <xf numFmtId="43" fontId="0" fillId="0" borderId="26" xfId="1" applyFont="1" applyFill="1" applyBorder="1" applyAlignment="1">
      <alignment horizontal="center" vertical="center" wrapText="1"/>
    </xf>
    <xf numFmtId="0" fontId="3" fillId="0" borderId="16" xfId="0" applyFont="1" applyBorder="1" applyAlignment="1">
      <alignment horizontal="right" vertical="center"/>
    </xf>
    <xf numFmtId="3" fontId="3" fillId="0" borderId="16" xfId="0" applyNumberFormat="1" applyFont="1" applyBorder="1" applyAlignment="1">
      <alignment horizontal="right" vertical="center"/>
    </xf>
    <xf numFmtId="0" fontId="3" fillId="0" borderId="18" xfId="0" applyFont="1" applyBorder="1" applyAlignment="1">
      <alignment horizontal="right" vertical="center"/>
    </xf>
    <xf numFmtId="43" fontId="0" fillId="4" borderId="35" xfId="1" applyFont="1" applyFill="1" applyBorder="1"/>
    <xf numFmtId="43" fontId="0" fillId="4" borderId="36" xfId="1" applyFont="1" applyFill="1" applyBorder="1"/>
    <xf numFmtId="43" fontId="0" fillId="0" borderId="21" xfId="1" applyFont="1" applyBorder="1"/>
    <xf numFmtId="43" fontId="0" fillId="0" borderId="3" xfId="1" applyFont="1" applyBorder="1"/>
    <xf numFmtId="43" fontId="0" fillId="0" borderId="5" xfId="1" applyFont="1" applyBorder="1"/>
    <xf numFmtId="43" fontId="0" fillId="6" borderId="1" xfId="1" applyFont="1" applyFill="1" applyBorder="1"/>
    <xf numFmtId="43" fontId="0" fillId="7" borderId="5" xfId="1" applyFont="1" applyFill="1" applyBorder="1"/>
    <xf numFmtId="43" fontId="0" fillId="0" borderId="37" xfId="1" applyFont="1" applyBorder="1" applyAlignment="1">
      <alignment horizontal="center"/>
    </xf>
    <xf numFmtId="43" fontId="0" fillId="0" borderId="0" xfId="1" applyFont="1" applyBorder="1" applyAlignment="1"/>
    <xf numFmtId="43" fontId="0" fillId="0" borderId="40" xfId="1" applyFont="1" applyBorder="1" applyAlignment="1">
      <alignment horizontal="center"/>
    </xf>
    <xf numFmtId="43" fontId="0" fillId="0" borderId="1" xfId="1" applyFont="1" applyBorder="1" applyAlignment="1">
      <alignment horizontal="center" wrapText="1"/>
    </xf>
    <xf numFmtId="43" fontId="0" fillId="0" borderId="8" xfId="1" applyFont="1" applyBorder="1" applyAlignment="1">
      <alignment horizontal="center" wrapText="1"/>
    </xf>
    <xf numFmtId="43" fontId="0" fillId="0" borderId="2" xfId="1" applyFont="1" applyBorder="1" applyAlignment="1">
      <alignment horizontal="center" wrapText="1"/>
    </xf>
    <xf numFmtId="43" fontId="0" fillId="0" borderId="34" xfId="1" applyFont="1" applyBorder="1" applyAlignment="1">
      <alignment horizontal="center" wrapText="1"/>
    </xf>
    <xf numFmtId="43" fontId="0" fillId="0" borderId="9" xfId="1" applyFont="1" applyBorder="1" applyAlignment="1">
      <alignment horizontal="center" wrapText="1"/>
    </xf>
    <xf numFmtId="43" fontId="0" fillId="0" borderId="10" xfId="1" applyFont="1" applyBorder="1" applyAlignment="1">
      <alignment horizontal="center" wrapText="1"/>
    </xf>
    <xf numFmtId="0" fontId="0" fillId="0" borderId="16" xfId="0" applyBorder="1" applyAlignment="1">
      <alignment horizontal="center"/>
    </xf>
    <xf numFmtId="0" fontId="0" fillId="0" borderId="17" xfId="0"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0" borderId="13" xfId="0" applyBorder="1" applyAlignment="1">
      <alignment horizontal="center"/>
    </xf>
    <xf numFmtId="0" fontId="0" fillId="0" borderId="6" xfId="0"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1" xfId="0" applyFill="1" applyBorder="1" applyAlignment="1">
      <alignment horizontal="center"/>
    </xf>
    <xf numFmtId="0" fontId="0" fillId="2" borderId="12" xfId="0" applyFill="1" applyBorder="1" applyAlignment="1">
      <alignment horizontal="center"/>
    </xf>
    <xf numFmtId="43" fontId="0" fillId="0" borderId="18" xfId="1" applyFont="1" applyBorder="1" applyAlignment="1">
      <alignment horizontal="left"/>
    </xf>
    <xf numFmtId="43" fontId="0" fillId="0" borderId="38" xfId="1" applyFont="1" applyBorder="1" applyAlignment="1">
      <alignment horizontal="left"/>
    </xf>
    <xf numFmtId="43" fontId="0" fillId="0" borderId="19" xfId="1" applyFont="1" applyBorder="1" applyAlignment="1">
      <alignment horizontal="left"/>
    </xf>
    <xf numFmtId="43" fontId="0" fillId="0" borderId="16" xfId="1" applyFont="1" applyBorder="1" applyAlignment="1">
      <alignment horizontal="left"/>
    </xf>
    <xf numFmtId="43" fontId="0" fillId="0" borderId="39" xfId="1" applyFont="1" applyBorder="1" applyAlignment="1">
      <alignment horizontal="left"/>
    </xf>
    <xf numFmtId="43" fontId="0" fillId="0" borderId="17" xfId="1" applyFont="1" applyBorder="1" applyAlignment="1">
      <alignment horizontal="left"/>
    </xf>
    <xf numFmtId="43" fontId="0" fillId="0" borderId="11" xfId="1" applyFont="1" applyBorder="1" applyAlignment="1">
      <alignment horizontal="left"/>
    </xf>
    <xf numFmtId="43" fontId="0" fillId="0" borderId="20" xfId="1" applyFont="1" applyBorder="1" applyAlignment="1">
      <alignment horizontal="left"/>
    </xf>
    <xf numFmtId="43" fontId="0" fillId="0" borderId="12" xfId="1" applyFont="1" applyBorder="1" applyAlignment="1">
      <alignment horizontal="left"/>
    </xf>
    <xf numFmtId="0" fontId="0" fillId="2" borderId="20" xfId="0" applyFill="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horizontal="center" vertical="center"/>
    </xf>
    <xf numFmtId="0" fontId="0" fillId="5" borderId="7"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43" fontId="0" fillId="0" borderId="8" xfId="1" applyFont="1" applyBorder="1" applyAlignment="1">
      <alignment horizontal="left"/>
    </xf>
    <xf numFmtId="43" fontId="0" fillId="0" borderId="2" xfId="1" applyFont="1" applyBorder="1" applyAlignment="1">
      <alignment horizontal="left"/>
    </xf>
    <xf numFmtId="43" fontId="0" fillId="0" borderId="7" xfId="1" applyFont="1" applyBorder="1" applyAlignment="1">
      <alignment horizontal="left"/>
    </xf>
    <xf numFmtId="43" fontId="0" fillId="0" borderId="4" xfId="1" applyFont="1" applyBorder="1" applyAlignment="1">
      <alignment horizontal="left"/>
    </xf>
    <xf numFmtId="43" fontId="0" fillId="0" borderId="13" xfId="1" applyFont="1" applyBorder="1" applyAlignment="1">
      <alignment horizontal="left"/>
    </xf>
    <xf numFmtId="43" fontId="0" fillId="0" borderId="6" xfId="1" applyFont="1" applyBorder="1" applyAlignment="1">
      <alignment horizontal="left"/>
    </xf>
    <xf numFmtId="0" fontId="0" fillId="0" borderId="29" xfId="1" applyNumberFormat="1" applyFont="1" applyBorder="1" applyAlignment="1">
      <alignment horizontal="center" wrapText="1"/>
    </xf>
    <xf numFmtId="0" fontId="0" fillId="0" borderId="33" xfId="1" applyNumberFormat="1" applyFont="1" applyBorder="1" applyAlignment="1">
      <alignment horizontal="center" wrapText="1"/>
    </xf>
    <xf numFmtId="0" fontId="0" fillId="0" borderId="32" xfId="1" applyNumberFormat="1" applyFont="1" applyBorder="1" applyAlignment="1">
      <alignment horizontal="center" wrapText="1"/>
    </xf>
    <xf numFmtId="0" fontId="3" fillId="0" borderId="3" xfId="0" applyFont="1" applyBorder="1" applyAlignment="1">
      <alignment horizontal="center" vertical="center"/>
    </xf>
  </cellXfs>
  <cellStyles count="2">
    <cellStyle name="Comma" xfId="1" builtinId="3"/>
    <cellStyle name="Normal" xfId="0" builtinId="0"/>
  </cellStyles>
  <dxfs count="30">
    <dxf>
      <fill>
        <patternFill>
          <bgColor theme="8"/>
        </patternFill>
      </fill>
    </dxf>
    <dxf>
      <fill>
        <patternFill>
          <bgColor theme="5"/>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5"/>
        </patternFill>
      </fill>
    </dxf>
    <dxf>
      <fill>
        <patternFill>
          <bgColor theme="8"/>
        </patternFill>
      </fill>
    </dxf>
    <dxf>
      <fill>
        <patternFill>
          <bgColor theme="8"/>
        </patternFill>
      </fill>
    </dxf>
    <dxf>
      <fill>
        <patternFill>
          <bgColor theme="5"/>
        </patternFill>
      </fill>
    </dxf>
    <dxf>
      <fill>
        <patternFill>
          <bgColor theme="5"/>
        </patternFill>
      </fill>
    </dxf>
    <dxf>
      <fill>
        <patternFill>
          <bgColor theme="8"/>
        </patternFill>
      </fill>
    </dxf>
    <dxf>
      <fill>
        <patternFill>
          <bgColor theme="5"/>
        </patternFill>
      </fill>
    </dxf>
    <dxf>
      <fill>
        <patternFill>
          <bgColor them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nr.mo.gov/about-us/forums-stakeholder-groups/water-quality-standards"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epa.gov/wqc/national-recommended-water-quality-criteria-human-health-criteria-table" TargetMode="External"/><Relationship Id="rId2" Type="http://schemas.openxmlformats.org/officeDocument/2006/relationships/hyperlink" Target="https://www.epa.gov/sites/default/files/2016-01/documents/national-bioaccumulation-factors-supplemental-information.pdf" TargetMode="External"/><Relationship Id="rId1" Type="http://schemas.openxmlformats.org/officeDocument/2006/relationships/hyperlink" Target="https://www.epa.gov/sites/default/files/2015-01/documents/fish-consumption-rates-2014.pdf"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epa.gov/wqc/national-recommended-water-quality-criteria-human-health-criteria-table" TargetMode="External"/><Relationship Id="rId2" Type="http://schemas.openxmlformats.org/officeDocument/2006/relationships/hyperlink" Target="https://www.epa.gov/sites/default/files/2016-01/documents/national-bioaccumulation-factors-supplemental-information.pdf" TargetMode="External"/><Relationship Id="rId1" Type="http://schemas.openxmlformats.org/officeDocument/2006/relationships/hyperlink" Target="https://www.epa.gov/sites/default/files/2015-01/documents/fish-consumption-rates-2014.pdf" TargetMode="External"/><Relationship Id="rId4" Type="http://schemas.openxmlformats.org/officeDocument/2006/relationships/hyperlink" Target="https://iris.epa.gov/ChemicalLanding/&amp;substance_nmbr=276" TargetMode="External"/></Relationships>
</file>

<file path=xl/drawings/drawing1.xml><?xml version="1.0" encoding="utf-8"?>
<xdr:wsDr xmlns:xdr="http://schemas.openxmlformats.org/drawingml/2006/spreadsheetDrawing" xmlns:a="http://schemas.openxmlformats.org/drawingml/2006/main">
  <xdr:oneCellAnchor>
    <xdr:from>
      <xdr:col>2</xdr:col>
      <xdr:colOff>0</xdr:colOff>
      <xdr:row>2</xdr:row>
      <xdr:rowOff>161924</xdr:rowOff>
    </xdr:from>
    <xdr:ext cx="3676651" cy="1352551"/>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4221134D-8CD1-46C7-BC54-81515ED40DA8}"/>
                </a:ext>
              </a:extLst>
            </xdr:cNvPr>
            <xdr:cNvSpPr txBox="1"/>
          </xdr:nvSpPr>
          <xdr:spPr>
            <a:xfrm>
              <a:off x="1219200" y="542924"/>
              <a:ext cx="3676651" cy="13525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u="sng"/>
                <a:t>Noncancer</a:t>
              </a:r>
              <a:r>
                <a:rPr lang="en-US" sz="1600" u="sng" baseline="0"/>
                <a:t> Effects</a:t>
              </a:r>
            </a:p>
            <a:p>
              <a:endParaRPr lang="en-US" sz="1600" u="sng"/>
            </a:p>
            <a:p>
              <a:r>
                <a:rPr lang="en-US" sz="2800"/>
                <a:t>RfD*</a:t>
              </a:r>
              <a:r>
                <a:rPr lang="en-US" sz="2800" baseline="0"/>
                <a:t>RSC*(</a:t>
              </a:r>
              <a14:m>
                <m:oMath xmlns:m="http://schemas.openxmlformats.org/officeDocument/2006/math">
                  <m:f>
                    <m:fPr>
                      <m:ctrlPr>
                        <a:rPr lang="en-US" sz="2800" i="1">
                          <a:latin typeface="Cambria Math" panose="02040503050406030204" pitchFamily="18" charset="0"/>
                        </a:rPr>
                      </m:ctrlPr>
                    </m:fPr>
                    <m:num>
                      <m:r>
                        <a:rPr lang="en-US" sz="2800" b="0" i="1">
                          <a:latin typeface="Cambria Math" panose="02040503050406030204" pitchFamily="18" charset="0"/>
                        </a:rPr>
                        <m:t>𝐵𝑊</m:t>
                      </m:r>
                    </m:num>
                    <m:den>
                      <m:r>
                        <a:rPr lang="en-US" sz="2800" b="0" i="1">
                          <a:latin typeface="Cambria Math" panose="02040503050406030204" pitchFamily="18" charset="0"/>
                        </a:rPr>
                        <m:t>𝐷𝐼</m:t>
                      </m:r>
                      <m:r>
                        <a:rPr lang="en-US" sz="2800" b="0" i="1">
                          <a:latin typeface="Cambria Math" panose="02040503050406030204" pitchFamily="18" charset="0"/>
                        </a:rPr>
                        <m:t>+</m:t>
                      </m:r>
                      <m:nary>
                        <m:naryPr>
                          <m:chr m:val="∑"/>
                          <m:ctrlPr>
                            <a:rPr lang="en-US" sz="2800" i="1">
                              <a:solidFill>
                                <a:schemeClr val="tx1"/>
                              </a:solidFill>
                              <a:effectLst/>
                              <a:latin typeface="Cambria Math" panose="02040503050406030204" pitchFamily="18" charset="0"/>
                              <a:ea typeface="+mn-ea"/>
                              <a:cs typeface="+mn-cs"/>
                            </a:rPr>
                          </m:ctrlPr>
                        </m:naryPr>
                        <m:sub>
                          <m:r>
                            <m:rPr>
                              <m:brk m:alnAt="23"/>
                            </m:rPr>
                            <a:rPr lang="en-US" sz="2800" b="0" i="1">
                              <a:solidFill>
                                <a:schemeClr val="tx1"/>
                              </a:solidFill>
                              <a:effectLst/>
                              <a:latin typeface="Cambria Math" panose="02040503050406030204" pitchFamily="18" charset="0"/>
                              <a:ea typeface="+mn-ea"/>
                              <a:cs typeface="+mn-cs"/>
                            </a:rPr>
                            <m:t>2</m:t>
                          </m:r>
                        </m:sub>
                        <m:sup>
                          <m:r>
                            <a:rPr lang="en-US" sz="2800" b="0" i="1">
                              <a:solidFill>
                                <a:schemeClr val="tx1"/>
                              </a:solidFill>
                              <a:effectLst/>
                              <a:latin typeface="Cambria Math" panose="02040503050406030204" pitchFamily="18" charset="0"/>
                              <a:ea typeface="+mn-ea"/>
                              <a:cs typeface="+mn-cs"/>
                            </a:rPr>
                            <m:t>4</m:t>
                          </m:r>
                        </m:sup>
                        <m:e>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𝐹𝐼</m:t>
                          </m:r>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𝐵𝐴𝐹</m:t>
                          </m:r>
                          <m:r>
                            <a:rPr lang="en-US" sz="2800" b="0" i="1">
                              <a:solidFill>
                                <a:schemeClr val="tx1"/>
                              </a:solidFill>
                              <a:effectLst/>
                              <a:latin typeface="Cambria Math" panose="02040503050406030204" pitchFamily="18" charset="0"/>
                              <a:ea typeface="+mn-ea"/>
                              <a:cs typeface="+mn-cs"/>
                            </a:rPr>
                            <m:t>)</m:t>
                          </m:r>
                        </m:e>
                      </m:nary>
                    </m:den>
                  </m:f>
                  <m:r>
                    <a:rPr lang="en-US" sz="2800" b="0" i="1">
                      <a:latin typeface="Cambria Math" panose="02040503050406030204" pitchFamily="18" charset="0"/>
                    </a:rPr>
                    <m:t>)</m:t>
                  </m:r>
                </m:oMath>
              </a14:m>
              <a:endParaRPr lang="en-US" sz="1400"/>
            </a:p>
          </xdr:txBody>
        </xdr:sp>
      </mc:Choice>
      <mc:Fallback xmlns="">
        <xdr:sp macro="" textlink="">
          <xdr:nvSpPr>
            <xdr:cNvPr id="2" name="TextBox 1">
              <a:extLst>
                <a:ext uri="{FF2B5EF4-FFF2-40B4-BE49-F238E27FC236}">
                  <a16:creationId xmlns:a16="http://schemas.microsoft.com/office/drawing/2014/main" id="{4221134D-8CD1-46C7-BC54-81515ED40DA8}"/>
                </a:ext>
              </a:extLst>
            </xdr:cNvPr>
            <xdr:cNvSpPr txBox="1"/>
          </xdr:nvSpPr>
          <xdr:spPr>
            <a:xfrm>
              <a:off x="1219200" y="542924"/>
              <a:ext cx="3676651" cy="13525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u="sng"/>
                <a:t>Noncancer</a:t>
              </a:r>
              <a:r>
                <a:rPr lang="en-US" sz="1600" u="sng" baseline="0"/>
                <a:t> Effects</a:t>
              </a:r>
            </a:p>
            <a:p>
              <a:endParaRPr lang="en-US" sz="1600" u="sng"/>
            </a:p>
            <a:p>
              <a:r>
                <a:rPr lang="en-US" sz="2800"/>
                <a:t>RfD*</a:t>
              </a:r>
              <a:r>
                <a:rPr lang="en-US" sz="2800" baseline="0"/>
                <a:t>RSC*(</a:t>
              </a:r>
              <a:r>
                <a:rPr lang="en-US" sz="2800" b="0" i="0">
                  <a:latin typeface="Cambria Math" panose="02040503050406030204" pitchFamily="18" charset="0"/>
                </a:rPr>
                <a:t>𝐵𝑊/(𝐷𝐼+</a:t>
              </a:r>
              <a:r>
                <a:rPr lang="en-US" sz="2800" b="0" i="0">
                  <a:solidFill>
                    <a:schemeClr val="tx1"/>
                  </a:solidFill>
                  <a:effectLst/>
                  <a:latin typeface="Cambria Math" panose="02040503050406030204" pitchFamily="18" charset="0"/>
                  <a:ea typeface="+mn-ea"/>
                  <a:cs typeface="+mn-cs"/>
                </a:rPr>
                <a:t>∑_2^4▒〖(𝐹𝐼∗𝐵𝐴𝐹)〗)</a:t>
              </a:r>
              <a:r>
                <a:rPr lang="en-US" sz="2800" b="0" i="0">
                  <a:latin typeface="Cambria Math" panose="02040503050406030204" pitchFamily="18" charset="0"/>
                </a:rPr>
                <a:t>)</a:t>
              </a:r>
              <a:endParaRPr lang="en-US" sz="1400"/>
            </a:p>
          </xdr:txBody>
        </xdr:sp>
      </mc:Fallback>
    </mc:AlternateContent>
    <xdr:clientData/>
  </xdr:oneCellAnchor>
  <xdr:oneCellAnchor>
    <xdr:from>
      <xdr:col>2</xdr:col>
      <xdr:colOff>0</xdr:colOff>
      <xdr:row>15</xdr:row>
      <xdr:rowOff>66675</xdr:rowOff>
    </xdr:from>
    <xdr:ext cx="3676651" cy="1314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1EFBDECE-6DA7-4922-9D8A-BCF74AFC4095}"/>
                </a:ext>
              </a:extLst>
            </xdr:cNvPr>
            <xdr:cNvSpPr txBox="1"/>
          </xdr:nvSpPr>
          <xdr:spPr>
            <a:xfrm>
              <a:off x="1219200" y="3124200"/>
              <a:ext cx="3676651" cy="1314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i="0" u="sng">
                  <a:latin typeface="Cambria Math" panose="02040503050406030204" pitchFamily="18" charset="0"/>
                </a:rPr>
                <a:t>Cancer</a:t>
              </a:r>
              <a:r>
                <a:rPr lang="en-US" sz="1600" i="0" u="sng" baseline="0">
                  <a:latin typeface="Cambria Math" panose="02040503050406030204" pitchFamily="18" charset="0"/>
                </a:rPr>
                <a:t> Effects: Nonlinear Low Dose</a:t>
              </a:r>
            </a:p>
            <a:p>
              <a:endParaRPr lang="en-US" sz="1600" i="0" u="sng">
                <a:latin typeface="Cambria Math" panose="02040503050406030204" pitchFamily="18" charset="0"/>
              </a:endParaRPr>
            </a:p>
            <a:p>
              <a14:m>
                <m:oMath xmlns:m="http://schemas.openxmlformats.org/officeDocument/2006/math">
                  <m:f>
                    <m:fPr>
                      <m:ctrlPr>
                        <a:rPr lang="en-US" sz="2800" i="1">
                          <a:latin typeface="Cambria Math" panose="02040503050406030204" pitchFamily="18" charset="0"/>
                        </a:rPr>
                      </m:ctrlPr>
                    </m:fPr>
                    <m:num>
                      <m:r>
                        <a:rPr lang="en-US" sz="2800" b="0" i="1">
                          <a:latin typeface="Cambria Math" panose="02040503050406030204" pitchFamily="18" charset="0"/>
                        </a:rPr>
                        <m:t>𝑃𝑂𝐷</m:t>
                      </m:r>
                    </m:num>
                    <m:den>
                      <m:r>
                        <a:rPr lang="en-US" sz="2800" b="0" i="1">
                          <a:latin typeface="Cambria Math" panose="02040503050406030204" pitchFamily="18" charset="0"/>
                        </a:rPr>
                        <m:t>𝑈𝐹</m:t>
                      </m:r>
                    </m:den>
                  </m:f>
                </m:oMath>
              </a14:m>
              <a:r>
                <a:rPr lang="en-US" sz="2800"/>
                <a:t>*</a:t>
              </a:r>
              <a:r>
                <a:rPr lang="en-US" sz="2800" baseline="0"/>
                <a:t>RSC*(</a:t>
              </a:r>
              <a14:m>
                <m:oMath xmlns:m="http://schemas.openxmlformats.org/officeDocument/2006/math">
                  <m:f>
                    <m:fPr>
                      <m:ctrlPr>
                        <a:rPr lang="en-US" sz="2800" i="1">
                          <a:latin typeface="Cambria Math" panose="02040503050406030204" pitchFamily="18" charset="0"/>
                        </a:rPr>
                      </m:ctrlPr>
                    </m:fPr>
                    <m:num>
                      <m:r>
                        <a:rPr lang="en-US" sz="2800" b="0" i="1">
                          <a:latin typeface="Cambria Math" panose="02040503050406030204" pitchFamily="18" charset="0"/>
                        </a:rPr>
                        <m:t>𝐵𝑊</m:t>
                      </m:r>
                    </m:num>
                    <m:den>
                      <m:r>
                        <a:rPr lang="en-US" sz="2800" b="0" i="1">
                          <a:latin typeface="Cambria Math" panose="02040503050406030204" pitchFamily="18" charset="0"/>
                        </a:rPr>
                        <m:t>𝐷𝐼</m:t>
                      </m:r>
                      <m:r>
                        <a:rPr lang="en-US" sz="2800" b="0" i="1">
                          <a:latin typeface="Cambria Math" panose="02040503050406030204" pitchFamily="18" charset="0"/>
                        </a:rPr>
                        <m:t>+</m:t>
                      </m:r>
                      <m:nary>
                        <m:naryPr>
                          <m:chr m:val="∑"/>
                          <m:ctrlPr>
                            <a:rPr lang="en-US" sz="2800" i="1">
                              <a:solidFill>
                                <a:schemeClr val="tx1"/>
                              </a:solidFill>
                              <a:effectLst/>
                              <a:latin typeface="Cambria Math" panose="02040503050406030204" pitchFamily="18" charset="0"/>
                              <a:ea typeface="+mn-ea"/>
                              <a:cs typeface="+mn-cs"/>
                            </a:rPr>
                          </m:ctrlPr>
                        </m:naryPr>
                        <m:sub>
                          <m:r>
                            <m:rPr>
                              <m:brk m:alnAt="23"/>
                            </m:rPr>
                            <a:rPr lang="en-US" sz="2800" b="0" i="1">
                              <a:solidFill>
                                <a:schemeClr val="tx1"/>
                              </a:solidFill>
                              <a:effectLst/>
                              <a:latin typeface="Cambria Math" panose="02040503050406030204" pitchFamily="18" charset="0"/>
                              <a:ea typeface="+mn-ea"/>
                              <a:cs typeface="+mn-cs"/>
                            </a:rPr>
                            <m:t>2</m:t>
                          </m:r>
                        </m:sub>
                        <m:sup>
                          <m:r>
                            <a:rPr lang="en-US" sz="2800" b="0" i="1">
                              <a:solidFill>
                                <a:schemeClr val="tx1"/>
                              </a:solidFill>
                              <a:effectLst/>
                              <a:latin typeface="Cambria Math" panose="02040503050406030204" pitchFamily="18" charset="0"/>
                              <a:ea typeface="+mn-ea"/>
                              <a:cs typeface="+mn-cs"/>
                            </a:rPr>
                            <m:t>4</m:t>
                          </m:r>
                        </m:sup>
                        <m:e>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𝐹𝐼</m:t>
                          </m:r>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𝐵𝐴𝐹</m:t>
                          </m:r>
                          <m:r>
                            <a:rPr lang="en-US" sz="2800" b="0" i="1">
                              <a:solidFill>
                                <a:schemeClr val="tx1"/>
                              </a:solidFill>
                              <a:effectLst/>
                              <a:latin typeface="Cambria Math" panose="02040503050406030204" pitchFamily="18" charset="0"/>
                              <a:ea typeface="+mn-ea"/>
                              <a:cs typeface="+mn-cs"/>
                            </a:rPr>
                            <m:t>)</m:t>
                          </m:r>
                        </m:e>
                      </m:nary>
                    </m:den>
                  </m:f>
                  <m:r>
                    <a:rPr lang="en-US" sz="2800" b="0" i="1">
                      <a:latin typeface="Cambria Math" panose="02040503050406030204" pitchFamily="18" charset="0"/>
                    </a:rPr>
                    <m:t>)</m:t>
                  </m:r>
                </m:oMath>
              </a14:m>
              <a:endParaRPr lang="en-US" sz="1400"/>
            </a:p>
          </xdr:txBody>
        </xdr:sp>
      </mc:Choice>
      <mc:Fallback xmlns="">
        <xdr:sp macro="" textlink="">
          <xdr:nvSpPr>
            <xdr:cNvPr id="3" name="TextBox 2">
              <a:extLst>
                <a:ext uri="{FF2B5EF4-FFF2-40B4-BE49-F238E27FC236}">
                  <a16:creationId xmlns:a16="http://schemas.microsoft.com/office/drawing/2014/main" id="{1EFBDECE-6DA7-4922-9D8A-BCF74AFC4095}"/>
                </a:ext>
              </a:extLst>
            </xdr:cNvPr>
            <xdr:cNvSpPr txBox="1"/>
          </xdr:nvSpPr>
          <xdr:spPr>
            <a:xfrm>
              <a:off x="1219200" y="3124200"/>
              <a:ext cx="3676651" cy="1314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i="0" u="sng">
                  <a:latin typeface="Cambria Math" panose="02040503050406030204" pitchFamily="18" charset="0"/>
                </a:rPr>
                <a:t>Cancer</a:t>
              </a:r>
              <a:r>
                <a:rPr lang="en-US" sz="1600" i="0" u="sng" baseline="0">
                  <a:latin typeface="Cambria Math" panose="02040503050406030204" pitchFamily="18" charset="0"/>
                </a:rPr>
                <a:t> Effects: Nonlinear Low Dose</a:t>
              </a:r>
            </a:p>
            <a:p>
              <a:endParaRPr lang="en-US" sz="1600" i="0" u="sng">
                <a:latin typeface="Cambria Math" panose="02040503050406030204" pitchFamily="18" charset="0"/>
              </a:endParaRPr>
            </a:p>
            <a:p>
              <a:r>
                <a:rPr lang="en-US" sz="2800" b="0" i="0">
                  <a:latin typeface="Cambria Math" panose="02040503050406030204" pitchFamily="18" charset="0"/>
                </a:rPr>
                <a:t>𝑃𝑂𝐷/𝑈𝐹</a:t>
              </a:r>
              <a:r>
                <a:rPr lang="en-US" sz="2800"/>
                <a:t>*</a:t>
              </a:r>
              <a:r>
                <a:rPr lang="en-US" sz="2800" baseline="0"/>
                <a:t>RSC*(</a:t>
              </a:r>
              <a:r>
                <a:rPr lang="en-US" sz="2800" b="0" i="0">
                  <a:latin typeface="Cambria Math" panose="02040503050406030204" pitchFamily="18" charset="0"/>
                </a:rPr>
                <a:t>𝐵𝑊/(𝐷𝐼+</a:t>
              </a:r>
              <a:r>
                <a:rPr lang="en-US" sz="2800" b="0" i="0">
                  <a:solidFill>
                    <a:schemeClr val="tx1"/>
                  </a:solidFill>
                  <a:effectLst/>
                  <a:latin typeface="Cambria Math" panose="02040503050406030204" pitchFamily="18" charset="0"/>
                  <a:ea typeface="+mn-ea"/>
                  <a:cs typeface="+mn-cs"/>
                </a:rPr>
                <a:t>∑_2^4▒〖(𝐹𝐼∗𝐵𝐴𝐹)〗)</a:t>
              </a:r>
              <a:r>
                <a:rPr lang="en-US" sz="2800" b="0" i="0">
                  <a:latin typeface="Cambria Math" panose="02040503050406030204" pitchFamily="18" charset="0"/>
                </a:rPr>
                <a:t>)</a:t>
              </a:r>
              <a:endParaRPr lang="en-US" sz="1400"/>
            </a:p>
          </xdr:txBody>
        </xdr:sp>
      </mc:Fallback>
    </mc:AlternateContent>
    <xdr:clientData/>
  </xdr:oneCellAnchor>
  <xdr:oneCellAnchor>
    <xdr:from>
      <xdr:col>2</xdr:col>
      <xdr:colOff>1</xdr:colOff>
      <xdr:row>9</xdr:row>
      <xdr:rowOff>95250</xdr:rowOff>
    </xdr:from>
    <xdr:ext cx="3686174" cy="130492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E603E9-1192-4F73-8E2F-CD4D938EAD9B}"/>
                </a:ext>
              </a:extLst>
            </xdr:cNvPr>
            <xdr:cNvSpPr txBox="1"/>
          </xdr:nvSpPr>
          <xdr:spPr>
            <a:xfrm>
              <a:off x="1219201" y="1819275"/>
              <a:ext cx="3686174" cy="13049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u="sng"/>
                <a:t>Cancer Effects: Linear Low Dose</a:t>
              </a:r>
            </a:p>
            <a:p>
              <a:endParaRPr lang="en-US" sz="1600" u="sng"/>
            </a:p>
            <a:p>
              <a:r>
                <a:rPr lang="en-US" sz="2800"/>
                <a:t>RSD</a:t>
              </a:r>
              <a:r>
                <a:rPr lang="en-US" sz="2800" baseline="0"/>
                <a:t>*(</a:t>
              </a:r>
              <a14:m>
                <m:oMath xmlns:m="http://schemas.openxmlformats.org/officeDocument/2006/math">
                  <m:f>
                    <m:fPr>
                      <m:ctrlPr>
                        <a:rPr lang="en-US" sz="2800" i="1">
                          <a:latin typeface="Cambria Math" panose="02040503050406030204" pitchFamily="18" charset="0"/>
                        </a:rPr>
                      </m:ctrlPr>
                    </m:fPr>
                    <m:num>
                      <m:r>
                        <a:rPr lang="en-US" sz="2800" b="0" i="1">
                          <a:latin typeface="Cambria Math" panose="02040503050406030204" pitchFamily="18" charset="0"/>
                        </a:rPr>
                        <m:t>𝐵𝑊</m:t>
                      </m:r>
                    </m:num>
                    <m:den>
                      <m:r>
                        <a:rPr lang="en-US" sz="2800" b="0" i="1">
                          <a:latin typeface="Cambria Math" panose="02040503050406030204" pitchFamily="18" charset="0"/>
                        </a:rPr>
                        <m:t>𝐷𝐼</m:t>
                      </m:r>
                      <m:r>
                        <a:rPr lang="en-US" sz="2800" b="0" i="1">
                          <a:latin typeface="Cambria Math" panose="02040503050406030204" pitchFamily="18" charset="0"/>
                        </a:rPr>
                        <m:t>+</m:t>
                      </m:r>
                      <m:nary>
                        <m:naryPr>
                          <m:chr m:val="∑"/>
                          <m:ctrlPr>
                            <a:rPr lang="en-US" sz="2800" i="1">
                              <a:solidFill>
                                <a:schemeClr val="tx1"/>
                              </a:solidFill>
                              <a:effectLst/>
                              <a:latin typeface="Cambria Math" panose="02040503050406030204" pitchFamily="18" charset="0"/>
                              <a:ea typeface="+mn-ea"/>
                              <a:cs typeface="+mn-cs"/>
                            </a:rPr>
                          </m:ctrlPr>
                        </m:naryPr>
                        <m:sub>
                          <m:r>
                            <m:rPr>
                              <m:brk m:alnAt="23"/>
                            </m:rPr>
                            <a:rPr lang="en-US" sz="2800" b="0" i="1">
                              <a:solidFill>
                                <a:schemeClr val="tx1"/>
                              </a:solidFill>
                              <a:effectLst/>
                              <a:latin typeface="Cambria Math" panose="02040503050406030204" pitchFamily="18" charset="0"/>
                              <a:ea typeface="+mn-ea"/>
                              <a:cs typeface="+mn-cs"/>
                            </a:rPr>
                            <m:t>2</m:t>
                          </m:r>
                        </m:sub>
                        <m:sup>
                          <m:r>
                            <a:rPr lang="en-US" sz="2800" b="0" i="1">
                              <a:solidFill>
                                <a:schemeClr val="tx1"/>
                              </a:solidFill>
                              <a:effectLst/>
                              <a:latin typeface="Cambria Math" panose="02040503050406030204" pitchFamily="18" charset="0"/>
                              <a:ea typeface="+mn-ea"/>
                              <a:cs typeface="+mn-cs"/>
                            </a:rPr>
                            <m:t>4</m:t>
                          </m:r>
                        </m:sup>
                        <m:e>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𝐹𝐼</m:t>
                          </m:r>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𝐵𝐴𝐹</m:t>
                          </m:r>
                          <m:r>
                            <a:rPr lang="en-US" sz="2800" b="0" i="1">
                              <a:solidFill>
                                <a:schemeClr val="tx1"/>
                              </a:solidFill>
                              <a:effectLst/>
                              <a:latin typeface="Cambria Math" panose="02040503050406030204" pitchFamily="18" charset="0"/>
                              <a:ea typeface="+mn-ea"/>
                              <a:cs typeface="+mn-cs"/>
                            </a:rPr>
                            <m:t>)</m:t>
                          </m:r>
                        </m:e>
                      </m:nary>
                    </m:den>
                  </m:f>
                  <m:r>
                    <a:rPr lang="en-US" sz="2800" b="0" i="1">
                      <a:latin typeface="Cambria Math" panose="02040503050406030204" pitchFamily="18" charset="0"/>
                    </a:rPr>
                    <m:t>)</m:t>
                  </m:r>
                </m:oMath>
              </a14:m>
              <a:endParaRPr lang="en-US" sz="1400"/>
            </a:p>
          </xdr:txBody>
        </xdr:sp>
      </mc:Choice>
      <mc:Fallback xmlns="">
        <xdr:sp macro="" textlink="">
          <xdr:nvSpPr>
            <xdr:cNvPr id="4" name="TextBox 3">
              <a:extLst>
                <a:ext uri="{FF2B5EF4-FFF2-40B4-BE49-F238E27FC236}">
                  <a16:creationId xmlns:a16="http://schemas.microsoft.com/office/drawing/2014/main" id="{00E603E9-1192-4F73-8E2F-CD4D938EAD9B}"/>
                </a:ext>
              </a:extLst>
            </xdr:cNvPr>
            <xdr:cNvSpPr txBox="1"/>
          </xdr:nvSpPr>
          <xdr:spPr>
            <a:xfrm>
              <a:off x="1219201" y="1819275"/>
              <a:ext cx="3686174" cy="13049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u="sng"/>
                <a:t>Cancer Effects: Linear Low Dose</a:t>
              </a:r>
            </a:p>
            <a:p>
              <a:endParaRPr lang="en-US" sz="1600" u="sng"/>
            </a:p>
            <a:p>
              <a:r>
                <a:rPr lang="en-US" sz="2800"/>
                <a:t>RSD</a:t>
              </a:r>
              <a:r>
                <a:rPr lang="en-US" sz="2800" baseline="0"/>
                <a:t>*(</a:t>
              </a:r>
              <a:r>
                <a:rPr lang="en-US" sz="2800" b="0" i="0">
                  <a:latin typeface="Cambria Math" panose="02040503050406030204" pitchFamily="18" charset="0"/>
                </a:rPr>
                <a:t>𝐵𝑊/(𝐷𝐼+</a:t>
              </a:r>
              <a:r>
                <a:rPr lang="en-US" sz="2800" b="0" i="0">
                  <a:solidFill>
                    <a:schemeClr val="tx1"/>
                  </a:solidFill>
                  <a:effectLst/>
                  <a:latin typeface="Cambria Math" panose="02040503050406030204" pitchFamily="18" charset="0"/>
                  <a:ea typeface="+mn-ea"/>
                  <a:cs typeface="+mn-cs"/>
                </a:rPr>
                <a:t>∑_2^4▒〖(𝐹𝐼∗𝐵𝐴𝐹)〗)</a:t>
              </a:r>
              <a:r>
                <a:rPr lang="en-US" sz="2800" b="0" i="0">
                  <a:latin typeface="Cambria Math" panose="02040503050406030204" pitchFamily="18" charset="0"/>
                </a:rPr>
                <a:t>)</a:t>
              </a:r>
              <a:endParaRPr lang="en-US" sz="1400"/>
            </a:p>
          </xdr:txBody>
        </xdr:sp>
      </mc:Fallback>
    </mc:AlternateContent>
    <xdr:clientData/>
  </xdr:oneCellAnchor>
  <xdr:twoCellAnchor>
    <xdr:from>
      <xdr:col>9</xdr:col>
      <xdr:colOff>161925</xdr:colOff>
      <xdr:row>17</xdr:row>
      <xdr:rowOff>152400</xdr:rowOff>
    </xdr:from>
    <xdr:to>
      <xdr:col>12</xdr:col>
      <xdr:colOff>542925</xdr:colOff>
      <xdr:row>24</xdr:row>
      <xdr:rowOff>19050</xdr:rowOff>
    </xdr:to>
    <xdr:sp macro="" textlink="">
      <xdr:nvSpPr>
        <xdr:cNvPr id="6" name="TextBox 5">
          <a:hlinkClick xmlns:r="http://schemas.openxmlformats.org/officeDocument/2006/relationships" r:id="rId1"/>
          <a:extLst>
            <a:ext uri="{FF2B5EF4-FFF2-40B4-BE49-F238E27FC236}">
              <a16:creationId xmlns:a16="http://schemas.microsoft.com/office/drawing/2014/main" id="{52F428DE-9F6A-80C4-8E6C-52CAD342566F}"/>
            </a:ext>
          </a:extLst>
        </xdr:cNvPr>
        <xdr:cNvSpPr txBox="1"/>
      </xdr:nvSpPr>
      <xdr:spPr>
        <a:xfrm>
          <a:off x="5648325" y="3600450"/>
          <a:ext cx="4010025"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For a more detailed explanation of each variable, please see the department's July 18th, 2023 presentation by navigating</a:t>
          </a:r>
          <a:r>
            <a:rPr lang="en-US" sz="1400" baseline="0"/>
            <a:t> to the department's </a:t>
          </a:r>
          <a:r>
            <a:rPr lang="en-US" sz="1400" b="1" u="sng" baseline="0">
              <a:solidFill>
                <a:srgbClr val="0070C0"/>
              </a:solidFill>
            </a:rPr>
            <a:t>Water Quality Standards Workgroup Webpage</a:t>
          </a:r>
          <a:r>
            <a:rPr lang="en-US" sz="1400" baseline="0"/>
            <a:t>, or by clicking this link.</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2</xdr:row>
      <xdr:rowOff>19050</xdr:rowOff>
    </xdr:from>
    <xdr:ext cx="3676651" cy="1352551"/>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49821D1D-3F47-46AF-B58B-3E2C420DECB2}"/>
                </a:ext>
              </a:extLst>
            </xdr:cNvPr>
            <xdr:cNvSpPr txBox="1"/>
          </xdr:nvSpPr>
          <xdr:spPr>
            <a:xfrm>
              <a:off x="647700" y="209550"/>
              <a:ext cx="3676651" cy="13525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u="sng"/>
                <a:t>Noncancer</a:t>
              </a:r>
              <a:r>
                <a:rPr lang="en-US" sz="1600" u="sng" baseline="0"/>
                <a:t> Effects</a:t>
              </a:r>
            </a:p>
            <a:p>
              <a:endParaRPr lang="en-US" sz="1600" u="sng"/>
            </a:p>
            <a:p>
              <a:r>
                <a:rPr lang="en-US" sz="2800"/>
                <a:t>RfD*</a:t>
              </a:r>
              <a:r>
                <a:rPr lang="en-US" sz="2800" baseline="0"/>
                <a:t>RSC*(</a:t>
              </a:r>
              <a14:m>
                <m:oMath xmlns:m="http://schemas.openxmlformats.org/officeDocument/2006/math">
                  <m:f>
                    <m:fPr>
                      <m:ctrlPr>
                        <a:rPr lang="en-US" sz="2800" i="1">
                          <a:latin typeface="Cambria Math" panose="02040503050406030204" pitchFamily="18" charset="0"/>
                        </a:rPr>
                      </m:ctrlPr>
                    </m:fPr>
                    <m:num>
                      <m:r>
                        <a:rPr lang="en-US" sz="2800" b="0" i="1">
                          <a:latin typeface="Cambria Math" panose="02040503050406030204" pitchFamily="18" charset="0"/>
                        </a:rPr>
                        <m:t>𝐵𝑊</m:t>
                      </m:r>
                    </m:num>
                    <m:den>
                      <m:r>
                        <a:rPr lang="en-US" sz="2800" b="0" i="1">
                          <a:latin typeface="Cambria Math" panose="02040503050406030204" pitchFamily="18" charset="0"/>
                        </a:rPr>
                        <m:t>𝐷𝐼</m:t>
                      </m:r>
                      <m:r>
                        <a:rPr lang="en-US" sz="2800" b="0" i="1">
                          <a:latin typeface="Cambria Math" panose="02040503050406030204" pitchFamily="18" charset="0"/>
                        </a:rPr>
                        <m:t>+</m:t>
                      </m:r>
                      <m:nary>
                        <m:naryPr>
                          <m:chr m:val="∑"/>
                          <m:ctrlPr>
                            <a:rPr lang="en-US" sz="2800" i="1">
                              <a:solidFill>
                                <a:schemeClr val="tx1"/>
                              </a:solidFill>
                              <a:effectLst/>
                              <a:latin typeface="Cambria Math" panose="02040503050406030204" pitchFamily="18" charset="0"/>
                              <a:ea typeface="+mn-ea"/>
                              <a:cs typeface="+mn-cs"/>
                            </a:rPr>
                          </m:ctrlPr>
                        </m:naryPr>
                        <m:sub>
                          <m:r>
                            <m:rPr>
                              <m:brk m:alnAt="23"/>
                            </m:rPr>
                            <a:rPr lang="en-US" sz="2800" b="0" i="1">
                              <a:solidFill>
                                <a:schemeClr val="tx1"/>
                              </a:solidFill>
                              <a:effectLst/>
                              <a:latin typeface="Cambria Math" panose="02040503050406030204" pitchFamily="18" charset="0"/>
                              <a:ea typeface="+mn-ea"/>
                              <a:cs typeface="+mn-cs"/>
                            </a:rPr>
                            <m:t>2</m:t>
                          </m:r>
                        </m:sub>
                        <m:sup>
                          <m:r>
                            <a:rPr lang="en-US" sz="2800" b="0" i="1">
                              <a:solidFill>
                                <a:schemeClr val="tx1"/>
                              </a:solidFill>
                              <a:effectLst/>
                              <a:latin typeface="Cambria Math" panose="02040503050406030204" pitchFamily="18" charset="0"/>
                              <a:ea typeface="+mn-ea"/>
                              <a:cs typeface="+mn-cs"/>
                            </a:rPr>
                            <m:t>4</m:t>
                          </m:r>
                        </m:sup>
                        <m:e>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𝐹𝐼</m:t>
                          </m:r>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𝐵𝐴𝐹</m:t>
                          </m:r>
                          <m:r>
                            <a:rPr lang="en-US" sz="2800" b="0" i="1">
                              <a:solidFill>
                                <a:schemeClr val="tx1"/>
                              </a:solidFill>
                              <a:effectLst/>
                              <a:latin typeface="Cambria Math" panose="02040503050406030204" pitchFamily="18" charset="0"/>
                              <a:ea typeface="+mn-ea"/>
                              <a:cs typeface="+mn-cs"/>
                            </a:rPr>
                            <m:t>)</m:t>
                          </m:r>
                        </m:e>
                      </m:nary>
                    </m:den>
                  </m:f>
                  <m:r>
                    <a:rPr lang="en-US" sz="2800" b="0" i="1">
                      <a:latin typeface="Cambria Math" panose="02040503050406030204" pitchFamily="18" charset="0"/>
                    </a:rPr>
                    <m:t>)</m:t>
                  </m:r>
                </m:oMath>
              </a14:m>
              <a:endParaRPr lang="en-US" sz="1400"/>
            </a:p>
          </xdr:txBody>
        </xdr:sp>
      </mc:Choice>
      <mc:Fallback xmlns="">
        <xdr:sp macro="" textlink="">
          <xdr:nvSpPr>
            <xdr:cNvPr id="3" name="TextBox 2">
              <a:extLst>
                <a:ext uri="{FF2B5EF4-FFF2-40B4-BE49-F238E27FC236}">
                  <a16:creationId xmlns:a16="http://schemas.microsoft.com/office/drawing/2014/main" id="{49821D1D-3F47-46AF-B58B-3E2C420DECB2}"/>
                </a:ext>
              </a:extLst>
            </xdr:cNvPr>
            <xdr:cNvSpPr txBox="1"/>
          </xdr:nvSpPr>
          <xdr:spPr>
            <a:xfrm>
              <a:off x="647700" y="209550"/>
              <a:ext cx="3676651" cy="13525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u="sng"/>
                <a:t>Noncancer</a:t>
              </a:r>
              <a:r>
                <a:rPr lang="en-US" sz="1600" u="sng" baseline="0"/>
                <a:t> Effects</a:t>
              </a:r>
            </a:p>
            <a:p>
              <a:endParaRPr lang="en-US" sz="1600" u="sng"/>
            </a:p>
            <a:p>
              <a:r>
                <a:rPr lang="en-US" sz="2800"/>
                <a:t>RfD*</a:t>
              </a:r>
              <a:r>
                <a:rPr lang="en-US" sz="2800" baseline="0"/>
                <a:t>RSC*(</a:t>
              </a:r>
              <a:r>
                <a:rPr lang="en-US" sz="2800" b="0" i="0">
                  <a:latin typeface="Cambria Math" panose="02040503050406030204" pitchFamily="18" charset="0"/>
                </a:rPr>
                <a:t>𝐵𝑊/(𝐷𝐼+</a:t>
              </a:r>
              <a:r>
                <a:rPr lang="en-US" sz="2800" b="0" i="0">
                  <a:solidFill>
                    <a:schemeClr val="tx1"/>
                  </a:solidFill>
                  <a:effectLst/>
                  <a:latin typeface="Cambria Math" panose="02040503050406030204" pitchFamily="18" charset="0"/>
                  <a:ea typeface="+mn-ea"/>
                  <a:cs typeface="+mn-cs"/>
                </a:rPr>
                <a:t>∑_2^4▒〖(𝐹𝐼∗𝐵𝐴𝐹)〗)</a:t>
              </a:r>
              <a:r>
                <a:rPr lang="en-US" sz="2800" b="0" i="0">
                  <a:latin typeface="Cambria Math" panose="02040503050406030204" pitchFamily="18" charset="0"/>
                </a:rPr>
                <a:t>)</a:t>
              </a:r>
              <a:endParaRPr lang="en-US" sz="1400"/>
            </a:p>
          </xdr:txBody>
        </xdr:sp>
      </mc:Fallback>
    </mc:AlternateContent>
    <xdr:clientData/>
  </xdr:oneCellAnchor>
  <xdr:twoCellAnchor>
    <xdr:from>
      <xdr:col>0</xdr:col>
      <xdr:colOff>412750</xdr:colOff>
      <xdr:row>30</xdr:row>
      <xdr:rowOff>148166</xdr:rowOff>
    </xdr:from>
    <xdr:to>
      <xdr:col>5</xdr:col>
      <xdr:colOff>486834</xdr:colOff>
      <xdr:row>42</xdr:row>
      <xdr:rowOff>142875</xdr:rowOff>
    </xdr:to>
    <xdr:sp macro="" textlink="">
      <xdr:nvSpPr>
        <xdr:cNvPr id="2" name="TextBox 1">
          <a:extLst>
            <a:ext uri="{FF2B5EF4-FFF2-40B4-BE49-F238E27FC236}">
              <a16:creationId xmlns:a16="http://schemas.microsoft.com/office/drawing/2014/main" id="{5CBB46B5-A051-4E41-55CA-AC4D1226EB21}"/>
            </a:ext>
          </a:extLst>
        </xdr:cNvPr>
        <xdr:cNvSpPr txBox="1"/>
      </xdr:nvSpPr>
      <xdr:spPr>
        <a:xfrm>
          <a:off x="412750" y="6844241"/>
          <a:ext cx="4141259" cy="2509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Each aquatic species consumed belongs to different trophic levels. Due to factors such as ecosystem dynamics, different trophic level species accumulate pollutants in different amounts and at different rates. Because of this, when examining Ambient Water Quality Criteria for the protection of human health it is important to view the amount of aquatic organisms consumed (fish consumption) across trophic levels. These trophic level consumption values are then multiplied by the average bioaccumulation factor per each trophic level. </a:t>
          </a:r>
        </a:p>
        <a:p>
          <a:endParaRPr lang="en-US" sz="1100"/>
        </a:p>
      </xdr:txBody>
    </xdr:sp>
    <xdr:clientData/>
  </xdr:twoCellAnchor>
  <xdr:twoCellAnchor>
    <xdr:from>
      <xdr:col>5</xdr:col>
      <xdr:colOff>296332</xdr:colOff>
      <xdr:row>7</xdr:row>
      <xdr:rowOff>222249</xdr:rowOff>
    </xdr:from>
    <xdr:to>
      <xdr:col>8</xdr:col>
      <xdr:colOff>433915</xdr:colOff>
      <xdr:row>17</xdr:row>
      <xdr:rowOff>127000</xdr:rowOff>
    </xdr:to>
    <xdr:sp macro="" textlink="">
      <xdr:nvSpPr>
        <xdr:cNvPr id="4" name="TextBox 3">
          <a:extLst>
            <a:ext uri="{FF2B5EF4-FFF2-40B4-BE49-F238E27FC236}">
              <a16:creationId xmlns:a16="http://schemas.microsoft.com/office/drawing/2014/main" id="{97C06F69-1801-5495-9997-0A94F3EC031D}"/>
            </a:ext>
          </a:extLst>
        </xdr:cNvPr>
        <xdr:cNvSpPr txBox="1"/>
      </xdr:nvSpPr>
      <xdr:spPr>
        <a:xfrm>
          <a:off x="4360332" y="2021416"/>
          <a:ext cx="1979083" cy="2063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Drinking Water Intake value is set to 0 L/d to calculate the Organism Only Criteria. This value can be changed to calculate possible criteria based on Organism Consumption + Water Intake </a:t>
          </a:r>
        </a:p>
        <a:p>
          <a:endParaRPr lang="en-US" sz="1100"/>
        </a:p>
      </xdr:txBody>
    </xdr:sp>
    <xdr:clientData/>
  </xdr:twoCellAnchor>
  <xdr:twoCellAnchor>
    <xdr:from>
      <xdr:col>0</xdr:col>
      <xdr:colOff>409575</xdr:colOff>
      <xdr:row>42</xdr:row>
      <xdr:rowOff>104775</xdr:rowOff>
    </xdr:from>
    <xdr:to>
      <xdr:col>5</xdr:col>
      <xdr:colOff>485776</xdr:colOff>
      <xdr:row>47</xdr:row>
      <xdr:rowOff>19050</xdr:rowOff>
    </xdr:to>
    <xdr:sp macro="" textlink="">
      <xdr:nvSpPr>
        <xdr:cNvPr id="6" name="TextBox 5">
          <a:hlinkClick xmlns:r="http://schemas.openxmlformats.org/officeDocument/2006/relationships" r:id="rId1"/>
          <a:extLst>
            <a:ext uri="{FF2B5EF4-FFF2-40B4-BE49-F238E27FC236}">
              <a16:creationId xmlns:a16="http://schemas.microsoft.com/office/drawing/2014/main" id="{749E8FD7-A5FB-95CC-44B3-DF486DC36144}"/>
            </a:ext>
          </a:extLst>
        </xdr:cNvPr>
        <xdr:cNvSpPr txBox="1"/>
      </xdr:nvSpPr>
      <xdr:spPr>
        <a:xfrm>
          <a:off x="409575" y="9315450"/>
          <a:ext cx="4143376"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mn-lt"/>
              <a:ea typeface="+mn-ea"/>
              <a:cs typeface="+mn-cs"/>
            </a:rPr>
            <a:t>For more information on fish consumption rates, please see EPA’s </a:t>
          </a:r>
          <a:r>
            <a:rPr lang="en-US" sz="1400" b="1" u="sng">
              <a:solidFill>
                <a:srgbClr val="0070C0"/>
              </a:solidFill>
              <a:effectLst/>
              <a:latin typeface="+mn-lt"/>
              <a:ea typeface="+mn-ea"/>
              <a:cs typeface="+mn-cs"/>
            </a:rPr>
            <a:t>Estimated Fish Consumption Rates for the U.S. Population and Selected Sub Populations (NHANES 2003-2010). </a:t>
          </a:r>
          <a:endParaRPr lang="en-US" sz="1400" b="1" u="sng">
            <a:solidFill>
              <a:srgbClr val="0070C0"/>
            </a:solidFill>
          </a:endParaRPr>
        </a:p>
      </xdr:txBody>
    </xdr:sp>
    <xdr:clientData/>
  </xdr:twoCellAnchor>
  <xdr:twoCellAnchor>
    <xdr:from>
      <xdr:col>0</xdr:col>
      <xdr:colOff>409575</xdr:colOff>
      <xdr:row>46</xdr:row>
      <xdr:rowOff>200025</xdr:rowOff>
    </xdr:from>
    <xdr:to>
      <xdr:col>5</xdr:col>
      <xdr:colOff>485776</xdr:colOff>
      <xdr:row>50</xdr:row>
      <xdr:rowOff>133350</xdr:rowOff>
    </xdr:to>
    <xdr:sp macro="" textlink="">
      <xdr:nvSpPr>
        <xdr:cNvPr id="7" name="TextBox 6">
          <a:hlinkClick xmlns:r="http://schemas.openxmlformats.org/officeDocument/2006/relationships" r:id="rId2"/>
          <a:extLst>
            <a:ext uri="{FF2B5EF4-FFF2-40B4-BE49-F238E27FC236}">
              <a16:creationId xmlns:a16="http://schemas.microsoft.com/office/drawing/2014/main" id="{55A9FAE0-90D8-4478-98E9-AAD200CA347E}"/>
            </a:ext>
          </a:extLst>
        </xdr:cNvPr>
        <xdr:cNvSpPr txBox="1"/>
      </xdr:nvSpPr>
      <xdr:spPr>
        <a:xfrm>
          <a:off x="409575" y="10248900"/>
          <a:ext cx="4143376"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mn-lt"/>
              <a:ea typeface="+mn-ea"/>
              <a:cs typeface="+mn-cs"/>
            </a:rPr>
            <a:t>For more information on bioaccumulation factors, please see EPA’s </a:t>
          </a:r>
          <a:r>
            <a:rPr lang="en-US" sz="1400" b="1" u="sng">
              <a:solidFill>
                <a:srgbClr val="0070C0"/>
              </a:solidFill>
              <a:effectLst/>
              <a:latin typeface="+mn-lt"/>
              <a:ea typeface="+mn-ea"/>
              <a:cs typeface="+mn-cs"/>
            </a:rPr>
            <a:t>Development of National Bioaccumulation Factors Supplemental Document</a:t>
          </a:r>
          <a:endParaRPr lang="en-US" sz="1400" b="1">
            <a:solidFill>
              <a:srgbClr val="0070C0"/>
            </a:solidFill>
          </a:endParaRPr>
        </a:p>
      </xdr:txBody>
    </xdr:sp>
    <xdr:clientData/>
  </xdr:twoCellAnchor>
  <xdr:twoCellAnchor>
    <xdr:from>
      <xdr:col>8</xdr:col>
      <xdr:colOff>592667</xdr:colOff>
      <xdr:row>60</xdr:row>
      <xdr:rowOff>130174</xdr:rowOff>
    </xdr:from>
    <xdr:to>
      <xdr:col>22</xdr:col>
      <xdr:colOff>793751</xdr:colOff>
      <xdr:row>63</xdr:row>
      <xdr:rowOff>187325</xdr:rowOff>
    </xdr:to>
    <xdr:sp macro="" textlink="">
      <xdr:nvSpPr>
        <xdr:cNvPr id="10" name="TextBox 9">
          <a:hlinkClick xmlns:r="http://schemas.openxmlformats.org/officeDocument/2006/relationships" r:id="rId3"/>
          <a:extLst>
            <a:ext uri="{FF2B5EF4-FFF2-40B4-BE49-F238E27FC236}">
              <a16:creationId xmlns:a16="http://schemas.microsoft.com/office/drawing/2014/main" id="{D51C7298-BF5C-4FEC-B289-DB3AB50743B1}"/>
            </a:ext>
          </a:extLst>
        </xdr:cNvPr>
        <xdr:cNvSpPr txBox="1"/>
      </xdr:nvSpPr>
      <xdr:spPr>
        <a:xfrm>
          <a:off x="6498167" y="13221757"/>
          <a:ext cx="12086167" cy="628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For a detailed</a:t>
          </a:r>
          <a:r>
            <a:rPr lang="en-US" sz="1400" baseline="0"/>
            <a:t> description of each pollutant and how the national recommended criteria were calculated, please see </a:t>
          </a:r>
          <a:r>
            <a:rPr lang="en-US" sz="1400" b="1" u="sng" baseline="0">
              <a:solidFill>
                <a:srgbClr val="0070C0"/>
              </a:solidFill>
            </a:rPr>
            <a:t>EPA's Human Health Criteria Table</a:t>
          </a:r>
          <a:r>
            <a:rPr lang="en-US" sz="1400" baseline="0"/>
            <a:t>, and select a specific chemical under the "Pollutant" column. </a:t>
          </a:r>
          <a:endParaRPr lang="en-US" sz="1400"/>
        </a:p>
      </xdr:txBody>
    </xdr:sp>
    <xdr:clientData/>
  </xdr:twoCellAnchor>
  <xdr:twoCellAnchor>
    <xdr:from>
      <xdr:col>8</xdr:col>
      <xdr:colOff>602193</xdr:colOff>
      <xdr:row>63</xdr:row>
      <xdr:rowOff>177799</xdr:rowOff>
    </xdr:from>
    <xdr:to>
      <xdr:col>22</xdr:col>
      <xdr:colOff>793751</xdr:colOff>
      <xdr:row>69</xdr:row>
      <xdr:rowOff>25401</xdr:rowOff>
    </xdr:to>
    <xdr:sp macro="" textlink="">
      <xdr:nvSpPr>
        <xdr:cNvPr id="11" name="TextBox 10">
          <a:extLst>
            <a:ext uri="{FF2B5EF4-FFF2-40B4-BE49-F238E27FC236}">
              <a16:creationId xmlns:a16="http://schemas.microsoft.com/office/drawing/2014/main" id="{A3BC727C-F687-4EDE-95DA-6674C3EF0325}"/>
            </a:ext>
          </a:extLst>
        </xdr:cNvPr>
        <xdr:cNvSpPr txBox="1"/>
      </xdr:nvSpPr>
      <xdr:spPr>
        <a:xfrm>
          <a:off x="6507693" y="13840882"/>
          <a:ext cx="12076641" cy="9906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 Possible Affected</a:t>
          </a:r>
          <a:r>
            <a:rPr lang="en-US" sz="1400" baseline="0"/>
            <a:t> Facilities Column lists the projected number of permits that contain the given pollutant. This value is not equivalent to the total amount of facilities. This estimate includes permits with monitoring requirements and/or effluent limits. This column is a projection and is subject to change. </a:t>
          </a:r>
        </a:p>
        <a:p>
          <a:endParaRPr lang="en-US" sz="1400"/>
        </a:p>
        <a:p>
          <a:r>
            <a:rPr lang="en-US" sz="1400"/>
            <a:t>This</a:t>
          </a:r>
          <a:r>
            <a:rPr lang="en-US" sz="1400" baseline="0"/>
            <a:t> spreadsheet shows only the pollutants included in EPA's 2015 Human Health Ambient Water Quality Criteria Update. </a:t>
          </a:r>
          <a:endParaRPr lang="en-US" sz="1400"/>
        </a:p>
      </xdr:txBody>
    </xdr:sp>
    <xdr:clientData/>
  </xdr:twoCellAnchor>
  <xdr:twoCellAnchor>
    <xdr:from>
      <xdr:col>8</xdr:col>
      <xdr:colOff>592667</xdr:colOff>
      <xdr:row>54</xdr:row>
      <xdr:rowOff>177799</xdr:rowOff>
    </xdr:from>
    <xdr:to>
      <xdr:col>22</xdr:col>
      <xdr:colOff>793751</xdr:colOff>
      <xdr:row>60</xdr:row>
      <xdr:rowOff>130175</xdr:rowOff>
    </xdr:to>
    <xdr:sp macro="" textlink="">
      <xdr:nvSpPr>
        <xdr:cNvPr id="12" name="TextBox 11">
          <a:extLst>
            <a:ext uri="{FF2B5EF4-FFF2-40B4-BE49-F238E27FC236}">
              <a16:creationId xmlns:a16="http://schemas.microsoft.com/office/drawing/2014/main" id="{B4AE4FB9-FF39-4490-8BC4-2D6CAC259A2C}"/>
            </a:ext>
          </a:extLst>
        </xdr:cNvPr>
        <xdr:cNvSpPr txBox="1"/>
      </xdr:nvSpPr>
      <xdr:spPr>
        <a:xfrm>
          <a:off x="6498167" y="12126382"/>
          <a:ext cx="12086167" cy="1095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ND = No Data</a:t>
          </a:r>
        </a:p>
        <a:p>
          <a:r>
            <a:rPr lang="en-US" sz="1400" b="0" i="0" u="none" strike="noStrike">
              <a:solidFill>
                <a:schemeClr val="dk1"/>
              </a:solidFill>
              <a:effectLst/>
              <a:latin typeface="+mn-lt"/>
              <a:ea typeface="+mn-ea"/>
              <a:cs typeface="+mn-cs"/>
            </a:rPr>
            <a:t>* This bioaccumulation factor was estimated from lab-measured bioconcentration factors; EPA multiplied this bioaccumulation factor by the overall recommended fish consumption rate of 22.0g/d to calculate the 2015 final updated human health criteria.</a:t>
          </a:r>
          <a:endParaRPr lang="en-US" sz="1400"/>
        </a:p>
        <a:p>
          <a:r>
            <a:rPr lang="en-US" sz="1400" b="0" i="0" u="none" strike="noStrike">
              <a:solidFill>
                <a:schemeClr val="dk1"/>
              </a:solidFill>
              <a:effectLst/>
              <a:latin typeface="+mn-lt"/>
              <a:ea typeface="+mn-ea"/>
              <a:cs typeface="+mn-cs"/>
            </a:rPr>
            <a:t>** EPA multiplies this bioconcentration factor by the overall national recommended fish consumptio rate of 22.og/d to calculate the 2015 final updated human health criteria.</a:t>
          </a:r>
          <a:r>
            <a:rPr lang="en-US" sz="1400"/>
            <a:t> </a:t>
          </a:r>
        </a:p>
        <a:p>
          <a:endParaRPr lang="en-US"/>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3686174" cy="1304925"/>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A7AE5992-AE51-4DFC-9611-23EF759CB29E}"/>
                </a:ext>
              </a:extLst>
            </xdr:cNvPr>
            <xdr:cNvSpPr txBox="1"/>
          </xdr:nvSpPr>
          <xdr:spPr>
            <a:xfrm>
              <a:off x="609600" y="190500"/>
              <a:ext cx="3686174" cy="13049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u="sng"/>
                <a:t>Cancer Effects: Linear Low Dose</a:t>
              </a:r>
            </a:p>
            <a:p>
              <a:endParaRPr lang="en-US" sz="1600" u="sng"/>
            </a:p>
            <a:p>
              <a:r>
                <a:rPr lang="en-US" sz="2800"/>
                <a:t>RSD</a:t>
              </a:r>
              <a:r>
                <a:rPr lang="en-US" sz="2800" baseline="0"/>
                <a:t>*(</a:t>
              </a:r>
              <a14:m>
                <m:oMath xmlns:m="http://schemas.openxmlformats.org/officeDocument/2006/math">
                  <m:f>
                    <m:fPr>
                      <m:ctrlPr>
                        <a:rPr lang="en-US" sz="2800" i="1">
                          <a:latin typeface="Cambria Math" panose="02040503050406030204" pitchFamily="18" charset="0"/>
                        </a:rPr>
                      </m:ctrlPr>
                    </m:fPr>
                    <m:num>
                      <m:r>
                        <a:rPr lang="en-US" sz="2800" b="0" i="1">
                          <a:latin typeface="Cambria Math" panose="02040503050406030204" pitchFamily="18" charset="0"/>
                        </a:rPr>
                        <m:t>𝐵𝑊</m:t>
                      </m:r>
                    </m:num>
                    <m:den>
                      <m:r>
                        <a:rPr lang="en-US" sz="2800" b="0" i="1">
                          <a:latin typeface="Cambria Math" panose="02040503050406030204" pitchFamily="18" charset="0"/>
                        </a:rPr>
                        <m:t>𝐷𝐼</m:t>
                      </m:r>
                      <m:r>
                        <a:rPr lang="en-US" sz="2800" b="0" i="1">
                          <a:latin typeface="Cambria Math" panose="02040503050406030204" pitchFamily="18" charset="0"/>
                        </a:rPr>
                        <m:t>+</m:t>
                      </m:r>
                      <m:nary>
                        <m:naryPr>
                          <m:chr m:val="∑"/>
                          <m:ctrlPr>
                            <a:rPr lang="en-US" sz="2800" i="1">
                              <a:solidFill>
                                <a:schemeClr val="tx1"/>
                              </a:solidFill>
                              <a:effectLst/>
                              <a:latin typeface="Cambria Math" panose="02040503050406030204" pitchFamily="18" charset="0"/>
                              <a:ea typeface="+mn-ea"/>
                              <a:cs typeface="+mn-cs"/>
                            </a:rPr>
                          </m:ctrlPr>
                        </m:naryPr>
                        <m:sub>
                          <m:r>
                            <m:rPr>
                              <m:brk m:alnAt="23"/>
                            </m:rPr>
                            <a:rPr lang="en-US" sz="2800" b="0" i="1">
                              <a:solidFill>
                                <a:schemeClr val="tx1"/>
                              </a:solidFill>
                              <a:effectLst/>
                              <a:latin typeface="Cambria Math" panose="02040503050406030204" pitchFamily="18" charset="0"/>
                              <a:ea typeface="+mn-ea"/>
                              <a:cs typeface="+mn-cs"/>
                            </a:rPr>
                            <m:t>2</m:t>
                          </m:r>
                        </m:sub>
                        <m:sup>
                          <m:r>
                            <a:rPr lang="en-US" sz="2800" b="0" i="1">
                              <a:solidFill>
                                <a:schemeClr val="tx1"/>
                              </a:solidFill>
                              <a:effectLst/>
                              <a:latin typeface="Cambria Math" panose="02040503050406030204" pitchFamily="18" charset="0"/>
                              <a:ea typeface="+mn-ea"/>
                              <a:cs typeface="+mn-cs"/>
                            </a:rPr>
                            <m:t>4</m:t>
                          </m:r>
                        </m:sup>
                        <m:e>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𝐹𝐼</m:t>
                          </m:r>
                          <m:r>
                            <a:rPr lang="en-US" sz="2800" b="0" i="1">
                              <a:solidFill>
                                <a:schemeClr val="tx1"/>
                              </a:solidFill>
                              <a:effectLst/>
                              <a:latin typeface="Cambria Math" panose="02040503050406030204" pitchFamily="18" charset="0"/>
                              <a:ea typeface="+mn-ea"/>
                              <a:cs typeface="+mn-cs"/>
                            </a:rPr>
                            <m:t>∗</m:t>
                          </m:r>
                          <m:r>
                            <a:rPr lang="en-US" sz="2800" b="0" i="1">
                              <a:solidFill>
                                <a:schemeClr val="tx1"/>
                              </a:solidFill>
                              <a:effectLst/>
                              <a:latin typeface="Cambria Math" panose="02040503050406030204" pitchFamily="18" charset="0"/>
                              <a:ea typeface="+mn-ea"/>
                              <a:cs typeface="+mn-cs"/>
                            </a:rPr>
                            <m:t>𝐵𝐴𝐹</m:t>
                          </m:r>
                          <m:r>
                            <a:rPr lang="en-US" sz="2800" b="0" i="1">
                              <a:solidFill>
                                <a:schemeClr val="tx1"/>
                              </a:solidFill>
                              <a:effectLst/>
                              <a:latin typeface="Cambria Math" panose="02040503050406030204" pitchFamily="18" charset="0"/>
                              <a:ea typeface="+mn-ea"/>
                              <a:cs typeface="+mn-cs"/>
                            </a:rPr>
                            <m:t>)</m:t>
                          </m:r>
                        </m:e>
                      </m:nary>
                    </m:den>
                  </m:f>
                  <m:r>
                    <a:rPr lang="en-US" sz="2800" b="0" i="1">
                      <a:latin typeface="Cambria Math" panose="02040503050406030204" pitchFamily="18" charset="0"/>
                    </a:rPr>
                    <m:t>)</m:t>
                  </m:r>
                </m:oMath>
              </a14:m>
              <a:endParaRPr lang="en-US" sz="1400"/>
            </a:p>
          </xdr:txBody>
        </xdr:sp>
      </mc:Choice>
      <mc:Fallback xmlns="">
        <xdr:sp macro="" textlink="">
          <xdr:nvSpPr>
            <xdr:cNvPr id="2" name="TextBox 1">
              <a:extLst>
                <a:ext uri="{FF2B5EF4-FFF2-40B4-BE49-F238E27FC236}">
                  <a16:creationId xmlns:a16="http://schemas.microsoft.com/office/drawing/2014/main" id="{A7AE5992-AE51-4DFC-9611-23EF759CB29E}"/>
                </a:ext>
              </a:extLst>
            </xdr:cNvPr>
            <xdr:cNvSpPr txBox="1"/>
          </xdr:nvSpPr>
          <xdr:spPr>
            <a:xfrm>
              <a:off x="609600" y="190500"/>
              <a:ext cx="3686174" cy="13049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600" u="sng"/>
                <a:t>Cancer Effects: Linear Low Dose</a:t>
              </a:r>
            </a:p>
            <a:p>
              <a:endParaRPr lang="en-US" sz="1600" u="sng"/>
            </a:p>
            <a:p>
              <a:r>
                <a:rPr lang="en-US" sz="2800"/>
                <a:t>RSD</a:t>
              </a:r>
              <a:r>
                <a:rPr lang="en-US" sz="2800" baseline="0"/>
                <a:t>*(</a:t>
              </a:r>
              <a:r>
                <a:rPr lang="en-US" sz="2800" b="0" i="0">
                  <a:latin typeface="Cambria Math" panose="02040503050406030204" pitchFamily="18" charset="0"/>
                </a:rPr>
                <a:t>𝐵𝑊/(𝐷𝐼+</a:t>
              </a:r>
              <a:r>
                <a:rPr lang="en-US" sz="2800" b="0" i="0">
                  <a:solidFill>
                    <a:schemeClr val="tx1"/>
                  </a:solidFill>
                  <a:effectLst/>
                  <a:latin typeface="Cambria Math" panose="02040503050406030204" pitchFamily="18" charset="0"/>
                  <a:ea typeface="+mn-ea"/>
                  <a:cs typeface="+mn-cs"/>
                </a:rPr>
                <a:t>∑_2^4▒〖(𝐹𝐼∗𝐵𝐴𝐹)〗)</a:t>
              </a:r>
              <a:r>
                <a:rPr lang="en-US" sz="2800" b="0" i="0">
                  <a:latin typeface="Cambria Math" panose="02040503050406030204" pitchFamily="18" charset="0"/>
                </a:rPr>
                <a:t>)</a:t>
              </a:r>
              <a:endParaRPr lang="en-US" sz="1400"/>
            </a:p>
          </xdr:txBody>
        </xdr:sp>
      </mc:Fallback>
    </mc:AlternateContent>
    <xdr:clientData/>
  </xdr:oneCellAnchor>
  <xdr:twoCellAnchor>
    <xdr:from>
      <xdr:col>5</xdr:col>
      <xdr:colOff>209550</xdr:colOff>
      <xdr:row>7</xdr:row>
      <xdr:rowOff>0</xdr:rowOff>
    </xdr:from>
    <xdr:to>
      <xdr:col>8</xdr:col>
      <xdr:colOff>359833</xdr:colOff>
      <xdr:row>16</xdr:row>
      <xdr:rowOff>158751</xdr:rowOff>
    </xdr:to>
    <xdr:sp macro="" textlink="">
      <xdr:nvSpPr>
        <xdr:cNvPr id="4" name="TextBox 3">
          <a:extLst>
            <a:ext uri="{FF2B5EF4-FFF2-40B4-BE49-F238E27FC236}">
              <a16:creationId xmlns:a16="http://schemas.microsoft.com/office/drawing/2014/main" id="{E8C0AAC3-4003-4BBD-B5A7-DBFF1AE1373D}"/>
            </a:ext>
          </a:extLst>
        </xdr:cNvPr>
        <xdr:cNvSpPr txBox="1"/>
      </xdr:nvSpPr>
      <xdr:spPr>
        <a:xfrm>
          <a:off x="4295775" y="2009775"/>
          <a:ext cx="1979083" cy="2063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Drinking Water Intake value is set to 0 L/d to calculate the Organism Only Criteria. This value can be changed to calculate possible criteria based on Organism Consumption + Water Intake </a:t>
          </a:r>
        </a:p>
        <a:p>
          <a:endParaRPr lang="en-US" sz="1100"/>
        </a:p>
      </xdr:txBody>
    </xdr:sp>
    <xdr:clientData/>
  </xdr:twoCellAnchor>
  <xdr:twoCellAnchor>
    <xdr:from>
      <xdr:col>0</xdr:col>
      <xdr:colOff>504825</xdr:colOff>
      <xdr:row>31</xdr:row>
      <xdr:rowOff>180975</xdr:rowOff>
    </xdr:from>
    <xdr:to>
      <xdr:col>5</xdr:col>
      <xdr:colOff>559859</xdr:colOff>
      <xdr:row>43</xdr:row>
      <xdr:rowOff>175684</xdr:rowOff>
    </xdr:to>
    <xdr:sp macro="" textlink="">
      <xdr:nvSpPr>
        <xdr:cNvPr id="5" name="TextBox 4">
          <a:extLst>
            <a:ext uri="{FF2B5EF4-FFF2-40B4-BE49-F238E27FC236}">
              <a16:creationId xmlns:a16="http://schemas.microsoft.com/office/drawing/2014/main" id="{D3E3D23C-6776-4D7F-9740-D28500000DE1}"/>
            </a:ext>
          </a:extLst>
        </xdr:cNvPr>
        <xdr:cNvSpPr txBox="1"/>
      </xdr:nvSpPr>
      <xdr:spPr>
        <a:xfrm>
          <a:off x="504825" y="7305675"/>
          <a:ext cx="4141259" cy="2509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Each aquatic species consumed belongs to different trophic levels. Due to factors such as ecosystem dynamics, different trophic level species accumulate pollutants in different amounts and at different rates. Because of this, when examining Ambient Water Quality Criteria for the protection of human health it is important to view the amount of aquatic organisms consumed (fish consumption) across trophic levels. These trophic level consumption values are then multiplied by the average bioaccumulation factor per each trophic level. </a:t>
          </a:r>
        </a:p>
        <a:p>
          <a:endParaRPr lang="en-US" sz="1100"/>
        </a:p>
      </xdr:txBody>
    </xdr:sp>
    <xdr:clientData/>
  </xdr:twoCellAnchor>
  <xdr:twoCellAnchor>
    <xdr:from>
      <xdr:col>0</xdr:col>
      <xdr:colOff>504825</xdr:colOff>
      <xdr:row>43</xdr:row>
      <xdr:rowOff>171450</xdr:rowOff>
    </xdr:from>
    <xdr:to>
      <xdr:col>5</xdr:col>
      <xdr:colOff>561976</xdr:colOff>
      <xdr:row>48</xdr:row>
      <xdr:rowOff>85725</xdr:rowOff>
    </xdr:to>
    <xdr:sp macro="" textlink="">
      <xdr:nvSpPr>
        <xdr:cNvPr id="6" name="TextBox 5">
          <a:hlinkClick xmlns:r="http://schemas.openxmlformats.org/officeDocument/2006/relationships" r:id="rId1"/>
          <a:extLst>
            <a:ext uri="{FF2B5EF4-FFF2-40B4-BE49-F238E27FC236}">
              <a16:creationId xmlns:a16="http://schemas.microsoft.com/office/drawing/2014/main" id="{CAE94616-8968-4E53-99C1-DC9383A0F480}"/>
            </a:ext>
          </a:extLst>
        </xdr:cNvPr>
        <xdr:cNvSpPr txBox="1"/>
      </xdr:nvSpPr>
      <xdr:spPr>
        <a:xfrm>
          <a:off x="504825" y="9810750"/>
          <a:ext cx="4143376"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mn-lt"/>
              <a:ea typeface="+mn-ea"/>
              <a:cs typeface="+mn-cs"/>
            </a:rPr>
            <a:t>For more information on fish consumption rates, please see EPA’s </a:t>
          </a:r>
          <a:r>
            <a:rPr lang="en-US" sz="1400" b="1" u="sng">
              <a:solidFill>
                <a:srgbClr val="0070C0"/>
              </a:solidFill>
              <a:effectLst/>
              <a:latin typeface="+mn-lt"/>
              <a:ea typeface="+mn-ea"/>
              <a:cs typeface="+mn-cs"/>
            </a:rPr>
            <a:t>Estimated Fish Consumption Rates for the U.S. Population and Selected Sub Populations (NHANES 2003-2010). </a:t>
          </a:r>
          <a:endParaRPr lang="en-US" sz="1400" b="1" u="sng">
            <a:solidFill>
              <a:srgbClr val="0070C0"/>
            </a:solidFill>
          </a:endParaRPr>
        </a:p>
      </xdr:txBody>
    </xdr:sp>
    <xdr:clientData/>
  </xdr:twoCellAnchor>
  <xdr:twoCellAnchor>
    <xdr:from>
      <xdr:col>0</xdr:col>
      <xdr:colOff>504825</xdr:colOff>
      <xdr:row>48</xdr:row>
      <xdr:rowOff>57150</xdr:rowOff>
    </xdr:from>
    <xdr:to>
      <xdr:col>5</xdr:col>
      <xdr:colOff>561976</xdr:colOff>
      <xdr:row>51</xdr:row>
      <xdr:rowOff>190500</xdr:rowOff>
    </xdr:to>
    <xdr:sp macro="" textlink="">
      <xdr:nvSpPr>
        <xdr:cNvPr id="7" name="TextBox 6">
          <a:hlinkClick xmlns:r="http://schemas.openxmlformats.org/officeDocument/2006/relationships" r:id="rId2"/>
          <a:extLst>
            <a:ext uri="{FF2B5EF4-FFF2-40B4-BE49-F238E27FC236}">
              <a16:creationId xmlns:a16="http://schemas.microsoft.com/office/drawing/2014/main" id="{5BA18554-4156-4F16-B1CE-1F01BD308900}"/>
            </a:ext>
          </a:extLst>
        </xdr:cNvPr>
        <xdr:cNvSpPr txBox="1"/>
      </xdr:nvSpPr>
      <xdr:spPr>
        <a:xfrm>
          <a:off x="504825" y="10744200"/>
          <a:ext cx="4143376"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mn-lt"/>
              <a:ea typeface="+mn-ea"/>
              <a:cs typeface="+mn-cs"/>
            </a:rPr>
            <a:t>For more information on bioaccumulation factors, please see EPA’s </a:t>
          </a:r>
          <a:r>
            <a:rPr lang="en-US" sz="1400" b="1" u="sng">
              <a:solidFill>
                <a:srgbClr val="0070C0"/>
              </a:solidFill>
              <a:effectLst/>
              <a:latin typeface="+mn-lt"/>
              <a:ea typeface="+mn-ea"/>
              <a:cs typeface="+mn-cs"/>
            </a:rPr>
            <a:t>Development of National Bioaccumulation Factors Supplemental Document</a:t>
          </a:r>
          <a:endParaRPr lang="en-US" sz="1400" b="1">
            <a:solidFill>
              <a:srgbClr val="0070C0"/>
            </a:solidFill>
          </a:endParaRPr>
        </a:p>
      </xdr:txBody>
    </xdr:sp>
    <xdr:clientData/>
  </xdr:twoCellAnchor>
  <xdr:twoCellAnchor>
    <xdr:from>
      <xdr:col>8</xdr:col>
      <xdr:colOff>588168</xdr:colOff>
      <xdr:row>64</xdr:row>
      <xdr:rowOff>128589</xdr:rowOff>
    </xdr:from>
    <xdr:to>
      <xdr:col>27</xdr:col>
      <xdr:colOff>407193</xdr:colOff>
      <xdr:row>67</xdr:row>
      <xdr:rowOff>185740</xdr:rowOff>
    </xdr:to>
    <xdr:sp macro="" textlink="">
      <xdr:nvSpPr>
        <xdr:cNvPr id="8" name="TextBox 7">
          <a:hlinkClick xmlns:r="http://schemas.openxmlformats.org/officeDocument/2006/relationships" r:id="rId3"/>
          <a:extLst>
            <a:ext uri="{FF2B5EF4-FFF2-40B4-BE49-F238E27FC236}">
              <a16:creationId xmlns:a16="http://schemas.microsoft.com/office/drawing/2014/main" id="{E5F2E65D-9E4C-453D-9397-6333A3754566}"/>
            </a:ext>
          </a:extLst>
        </xdr:cNvPr>
        <xdr:cNvSpPr txBox="1"/>
      </xdr:nvSpPr>
      <xdr:spPr>
        <a:xfrm>
          <a:off x="6505574" y="14332745"/>
          <a:ext cx="13261182" cy="628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For a detailed</a:t>
          </a:r>
          <a:r>
            <a:rPr lang="en-US" sz="1400" baseline="0"/>
            <a:t> description of each pollutant and how the national recommended criteria were calculated, please see </a:t>
          </a:r>
          <a:r>
            <a:rPr lang="en-US" sz="1400" b="1" u="sng" baseline="0">
              <a:solidFill>
                <a:srgbClr val="0070C0"/>
              </a:solidFill>
            </a:rPr>
            <a:t>EPA's Human Health Criteria Table</a:t>
          </a:r>
          <a:r>
            <a:rPr lang="en-US" sz="1400" baseline="0"/>
            <a:t>, and select a specific chemical under the "Pollutant" column. </a:t>
          </a:r>
          <a:endParaRPr lang="en-US" sz="1400"/>
        </a:p>
      </xdr:txBody>
    </xdr:sp>
    <xdr:clientData/>
  </xdr:twoCellAnchor>
  <xdr:twoCellAnchor>
    <xdr:from>
      <xdr:col>8</xdr:col>
      <xdr:colOff>588168</xdr:colOff>
      <xdr:row>68</xdr:row>
      <xdr:rowOff>7144</xdr:rowOff>
    </xdr:from>
    <xdr:to>
      <xdr:col>27</xdr:col>
      <xdr:colOff>407193</xdr:colOff>
      <xdr:row>73</xdr:row>
      <xdr:rowOff>92871</xdr:rowOff>
    </xdr:to>
    <xdr:sp macro="" textlink="">
      <xdr:nvSpPr>
        <xdr:cNvPr id="9" name="TextBox 8">
          <a:extLst>
            <a:ext uri="{FF2B5EF4-FFF2-40B4-BE49-F238E27FC236}">
              <a16:creationId xmlns:a16="http://schemas.microsoft.com/office/drawing/2014/main" id="{853BB08B-A26D-4ECA-8CE2-4482C11ABB3B}"/>
            </a:ext>
          </a:extLst>
        </xdr:cNvPr>
        <xdr:cNvSpPr txBox="1"/>
      </xdr:nvSpPr>
      <xdr:spPr>
        <a:xfrm>
          <a:off x="6505574" y="14973300"/>
          <a:ext cx="13261182" cy="1038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 Possible Affected</a:t>
          </a:r>
          <a:r>
            <a:rPr lang="en-US" sz="1400" baseline="0"/>
            <a:t> Facilities Column lists the projected number of permits that contain the given pollutant. This value is not equivalent to the total amount of facilities. This estimate includes permits with monitoring requirements and/or effluent limits. This column is a projection and is subject to change. </a:t>
          </a:r>
        </a:p>
        <a:p>
          <a:endParaRPr lang="en-US" sz="140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This</a:t>
          </a:r>
          <a:r>
            <a:rPr lang="en-US" sz="1400" baseline="0">
              <a:solidFill>
                <a:schemeClr val="dk1"/>
              </a:solidFill>
              <a:effectLst/>
              <a:latin typeface="+mn-lt"/>
              <a:ea typeface="+mn-ea"/>
              <a:cs typeface="+mn-cs"/>
            </a:rPr>
            <a:t> spreadsheet shows only the pollutants included in EPA's 2015 Human Health Ambient Water Quality Criteria Update. </a:t>
          </a:r>
          <a:endParaRPr lang="en-US" sz="1400">
            <a:effectLst/>
          </a:endParaRPr>
        </a:p>
        <a:p>
          <a:endParaRPr lang="en-US" sz="1400"/>
        </a:p>
      </xdr:txBody>
    </xdr:sp>
    <xdr:clientData/>
  </xdr:twoCellAnchor>
  <xdr:twoCellAnchor>
    <xdr:from>
      <xdr:col>8</xdr:col>
      <xdr:colOff>588168</xdr:colOff>
      <xdr:row>58</xdr:row>
      <xdr:rowOff>171450</xdr:rowOff>
    </xdr:from>
    <xdr:to>
      <xdr:col>27</xdr:col>
      <xdr:colOff>407194</xdr:colOff>
      <xdr:row>61</xdr:row>
      <xdr:rowOff>130969</xdr:rowOff>
    </xdr:to>
    <xdr:sp macro="" textlink="">
      <xdr:nvSpPr>
        <xdr:cNvPr id="10" name="TextBox 9">
          <a:extLst>
            <a:ext uri="{FF2B5EF4-FFF2-40B4-BE49-F238E27FC236}">
              <a16:creationId xmlns:a16="http://schemas.microsoft.com/office/drawing/2014/main" id="{8DAD7FE2-3B03-9D8D-BEB9-CA9526D42667}"/>
            </a:ext>
          </a:extLst>
        </xdr:cNvPr>
        <xdr:cNvSpPr txBox="1"/>
      </xdr:nvSpPr>
      <xdr:spPr>
        <a:xfrm>
          <a:off x="6505574" y="13232606"/>
          <a:ext cx="13261183" cy="531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 This bioaccumulation factor was estimated from lab-measured bioconcentration factors; EPA multiplied this bioaccumulation factor by the overall recommended fish consumption rate of 22.0g/d to calculate the 2015 final updated human health criteria.</a:t>
          </a:r>
          <a:r>
            <a:rPr lang="en-US" sz="1400"/>
            <a:t> </a:t>
          </a:r>
        </a:p>
        <a:p>
          <a:endParaRPr lang="en-US"/>
        </a:p>
        <a:p>
          <a:endParaRPr lang="en-US" sz="1100"/>
        </a:p>
      </xdr:txBody>
    </xdr:sp>
    <xdr:clientData/>
  </xdr:twoCellAnchor>
  <xdr:twoCellAnchor>
    <xdr:from>
      <xdr:col>8</xdr:col>
      <xdr:colOff>585787</xdr:colOff>
      <xdr:row>61</xdr:row>
      <xdr:rowOff>97631</xdr:rowOff>
    </xdr:from>
    <xdr:to>
      <xdr:col>27</xdr:col>
      <xdr:colOff>404813</xdr:colOff>
      <xdr:row>64</xdr:row>
      <xdr:rowOff>130969</xdr:rowOff>
    </xdr:to>
    <xdr:sp macro="" textlink="">
      <xdr:nvSpPr>
        <xdr:cNvPr id="3" name="TextBox 2">
          <a:hlinkClick xmlns:r="http://schemas.openxmlformats.org/officeDocument/2006/relationships" r:id="rId4"/>
          <a:extLst>
            <a:ext uri="{FF2B5EF4-FFF2-40B4-BE49-F238E27FC236}">
              <a16:creationId xmlns:a16="http://schemas.microsoft.com/office/drawing/2014/main" id="{94564AB3-C0C1-4D7A-9780-67702679A0BC}"/>
            </a:ext>
          </a:extLst>
        </xdr:cNvPr>
        <xdr:cNvSpPr txBox="1"/>
      </xdr:nvSpPr>
      <xdr:spPr>
        <a:xfrm>
          <a:off x="6503193" y="13730287"/>
          <a:ext cx="13261183" cy="6048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i="0" u="none" strike="noStrike">
              <a:solidFill>
                <a:schemeClr val="dk1"/>
              </a:solidFill>
              <a:effectLst/>
              <a:latin typeface="+mn-lt"/>
              <a:ea typeface="+mn-ea"/>
              <a:cs typeface="+mn-cs"/>
            </a:rPr>
            <a:t>** </a:t>
          </a:r>
          <a:r>
            <a:rPr lang="en-US" sz="1400">
              <a:solidFill>
                <a:schemeClr val="dk1"/>
              </a:solidFill>
              <a:effectLst/>
              <a:latin typeface="+mn-lt"/>
              <a:ea typeface="+mn-ea"/>
              <a:cs typeface="+mn-cs"/>
            </a:rPr>
            <a:t>EPA's benzene criteria present a range of values dependent on different Cancer Slope Factors. The </a:t>
          </a:r>
          <a:r>
            <a:rPr lang="en-US" sz="1400" b="1" u="sng">
              <a:solidFill>
                <a:srgbClr val="0070C0"/>
              </a:solidFill>
              <a:effectLst/>
              <a:latin typeface="+mn-lt"/>
              <a:ea typeface="+mn-ea"/>
              <a:cs typeface="+mn-cs"/>
            </a:rPr>
            <a:t>EPA's</a:t>
          </a:r>
          <a:r>
            <a:rPr lang="en-US" sz="1400" b="1" u="sng" baseline="0">
              <a:solidFill>
                <a:srgbClr val="0070C0"/>
              </a:solidFill>
              <a:effectLst/>
              <a:latin typeface="+mn-lt"/>
              <a:ea typeface="+mn-ea"/>
              <a:cs typeface="+mn-cs"/>
            </a:rPr>
            <a:t> IRIS Database </a:t>
          </a:r>
          <a:r>
            <a:rPr lang="en-US" sz="1400">
              <a:solidFill>
                <a:schemeClr val="dk1"/>
              </a:solidFill>
              <a:effectLst/>
              <a:latin typeface="+mn-lt"/>
              <a:ea typeface="+mn-ea"/>
              <a:cs typeface="+mn-cs"/>
            </a:rPr>
            <a:t>provides information on these Cancer Slope Factors. For the purposes of Missouri criteria, Missouri currently uses a singular criterion value for benzene, and plans on utilizing a single criterion value in the future.</a:t>
          </a:r>
          <a:endParaRPr lang="en-US" sz="14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91D65-E362-451C-B02D-FB44C26E9BB6}">
  <dimension ref="K8:L23"/>
  <sheetViews>
    <sheetView topLeftCell="A7" workbookViewId="0">
      <selection activeCell="G27" sqref="G27"/>
    </sheetView>
  </sheetViews>
  <sheetFormatPr defaultRowHeight="15" x14ac:dyDescent="0.25"/>
  <cols>
    <col min="12" max="12" width="36.140625" bestFit="1" customWidth="1"/>
  </cols>
  <sheetData>
    <row r="8" spans="11:12" ht="15.75" thickBot="1" x14ac:dyDescent="0.3"/>
    <row r="9" spans="11:12" x14ac:dyDescent="0.25">
      <c r="K9" s="2" t="s">
        <v>14</v>
      </c>
      <c r="L9" s="3" t="s">
        <v>16</v>
      </c>
    </row>
    <row r="10" spans="11:12" ht="30" x14ac:dyDescent="0.25">
      <c r="K10" s="4" t="s">
        <v>15</v>
      </c>
      <c r="L10" s="10" t="s">
        <v>17</v>
      </c>
    </row>
    <row r="11" spans="11:12" x14ac:dyDescent="0.25">
      <c r="K11" s="4" t="s">
        <v>0</v>
      </c>
      <c r="L11" s="5" t="s">
        <v>1</v>
      </c>
    </row>
    <row r="12" spans="11:12" x14ac:dyDescent="0.25">
      <c r="K12" s="4" t="s">
        <v>2</v>
      </c>
      <c r="L12" s="5" t="s">
        <v>3</v>
      </c>
    </row>
    <row r="13" spans="11:12" x14ac:dyDescent="0.25">
      <c r="K13" s="4" t="s">
        <v>4</v>
      </c>
      <c r="L13" s="5" t="s">
        <v>5</v>
      </c>
    </row>
    <row r="14" spans="11:12" x14ac:dyDescent="0.25">
      <c r="K14" s="4" t="s">
        <v>6</v>
      </c>
      <c r="L14" s="5" t="s">
        <v>7</v>
      </c>
    </row>
    <row r="15" spans="11:12" x14ac:dyDescent="0.25">
      <c r="K15" s="4" t="s">
        <v>8</v>
      </c>
      <c r="L15" s="5" t="s">
        <v>9</v>
      </c>
    </row>
    <row r="16" spans="11:12" x14ac:dyDescent="0.25">
      <c r="K16" s="4" t="s">
        <v>10</v>
      </c>
      <c r="L16" s="5" t="s">
        <v>11</v>
      </c>
    </row>
    <row r="17" spans="11:12" ht="15.75" thickBot="1" x14ac:dyDescent="0.3">
      <c r="K17" s="6" t="s">
        <v>12</v>
      </c>
      <c r="L17" s="7" t="s">
        <v>13</v>
      </c>
    </row>
    <row r="23" spans="11:12" ht="21" customHeight="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5F13B-14AE-4E99-A7B8-D73E2E8724BB}">
  <dimension ref="B1:Z54"/>
  <sheetViews>
    <sheetView topLeftCell="A22" zoomScale="90" zoomScaleNormal="90" workbookViewId="0">
      <selection activeCell="T51" sqref="T51"/>
    </sheetView>
  </sheetViews>
  <sheetFormatPr defaultRowHeight="15" x14ac:dyDescent="0.25"/>
  <cols>
    <col min="2" max="2" width="4.140625" bestFit="1" customWidth="1"/>
    <col min="3" max="3" width="28" bestFit="1" customWidth="1"/>
    <col min="4" max="4" width="11" bestFit="1" customWidth="1"/>
    <col min="5" max="5" width="8.7109375" bestFit="1" customWidth="1"/>
    <col min="10" max="10" width="60.5703125" bestFit="1" customWidth="1"/>
    <col min="11" max="11" width="10.140625" bestFit="1" customWidth="1"/>
    <col min="12" max="12" width="8.7109375" bestFit="1" customWidth="1"/>
    <col min="13" max="13" width="9.7109375" customWidth="1"/>
    <col min="14" max="14" width="4.42578125" bestFit="1" customWidth="1"/>
    <col min="15" max="17" width="6.7109375" bestFit="1" customWidth="1"/>
    <col min="18" max="18" width="13.42578125" customWidth="1"/>
    <col min="19" max="19" width="2.7109375" customWidth="1"/>
    <col min="20" max="20" width="11.28515625" bestFit="1" customWidth="1"/>
    <col min="21" max="21" width="15.7109375" style="23" bestFit="1" customWidth="1"/>
    <col min="22" max="23" width="12.140625" style="23" bestFit="1" customWidth="1"/>
    <col min="24" max="24" width="2.28515625" style="23" customWidth="1"/>
    <col min="25" max="26" width="8.140625" bestFit="1" customWidth="1"/>
  </cols>
  <sheetData>
    <row r="1" spans="2:26" ht="15.75" thickBot="1" x14ac:dyDescent="0.3"/>
    <row r="2" spans="2:26" x14ac:dyDescent="0.25">
      <c r="U2" s="108" t="s">
        <v>163</v>
      </c>
      <c r="V2" s="109"/>
      <c r="W2" s="110"/>
      <c r="X2" s="69"/>
    </row>
    <row r="3" spans="2:26" ht="15.75" thickBot="1" x14ac:dyDescent="0.3">
      <c r="U3" s="111"/>
      <c r="V3" s="112"/>
      <c r="W3" s="113"/>
      <c r="X3" s="69"/>
    </row>
    <row r="4" spans="2:26" ht="60.75" thickBot="1" x14ac:dyDescent="0.3">
      <c r="J4" s="2" t="s">
        <v>29</v>
      </c>
      <c r="K4" s="78" t="s">
        <v>159</v>
      </c>
      <c r="L4" s="15" t="s">
        <v>161</v>
      </c>
      <c r="M4" s="79" t="s">
        <v>32</v>
      </c>
      <c r="N4" s="80" t="s">
        <v>4</v>
      </c>
      <c r="O4" s="79" t="s">
        <v>33</v>
      </c>
      <c r="P4" s="79" t="s">
        <v>34</v>
      </c>
      <c r="Q4" s="79" t="s">
        <v>35</v>
      </c>
      <c r="R4" s="79" t="s">
        <v>36</v>
      </c>
      <c r="S4" s="81"/>
      <c r="T4" s="82" t="s">
        <v>154</v>
      </c>
      <c r="U4" s="84" t="s">
        <v>160</v>
      </c>
      <c r="V4" s="43" t="s">
        <v>151</v>
      </c>
      <c r="W4" s="49" t="s">
        <v>152</v>
      </c>
      <c r="X4" s="83"/>
      <c r="Y4" s="15" t="s">
        <v>155</v>
      </c>
      <c r="Z4" s="51" t="s">
        <v>156</v>
      </c>
    </row>
    <row r="5" spans="2:26" ht="16.5" x14ac:dyDescent="0.3">
      <c r="J5" s="16" t="s">
        <v>37</v>
      </c>
      <c r="K5" s="17">
        <v>71556</v>
      </c>
      <c r="L5" s="68">
        <v>4</v>
      </c>
      <c r="M5" s="72">
        <v>2</v>
      </c>
      <c r="N5" s="72">
        <v>0.2</v>
      </c>
      <c r="O5" s="72">
        <v>6.9</v>
      </c>
      <c r="P5" s="72">
        <v>9</v>
      </c>
      <c r="Q5" s="72">
        <v>10</v>
      </c>
      <c r="R5" s="73"/>
      <c r="S5" s="62"/>
      <c r="T5" s="95" t="s">
        <v>157</v>
      </c>
      <c r="U5" s="100">
        <f t="shared" ref="U5:U13" si="0">ROUND((M5*N5*$D$10*1000)/($D$11+(($D$14*O5)+($D$15*P5)+($D$16*Q5))),1-(1+INT(LOG10(ABS((M5*N5*$D$10*1000)/($D$11+(($D$14*O5)+($D$15*P5)+($D$16*Q5))))))))</f>
        <v>200000</v>
      </c>
      <c r="V5" s="47">
        <f t="shared" ref="V5:V13" si="1">ROUND((M5*N5*$D$10*1000)/($D$11+(($D$21*O5)+($D$22*P5)+($D$23*Q5))),1-(1+INT(LOG10(ABS((M5*N5*$D$10*1000)/($D$11+(($D$21*O5)+($D$22*P5)+($D$23*Q5))))))))</f>
        <v>300000</v>
      </c>
      <c r="W5" s="48">
        <f t="shared" ref="W5:W13" si="2">ROUND((M5*N5*$D$10*1000)/($D$11+(($D$28*O5)+($D$29*P5)+($D$30*Q5))),1-(1+INT(LOG10(ABS((M5*N5*$D$10*1000)/($D$11+(($D$28*O5)+($D$29*P5)+($D$30*Q5))))))))</f>
        <v>300000</v>
      </c>
      <c r="X5" s="98"/>
      <c r="Y5" s="17"/>
      <c r="Z5" s="52"/>
    </row>
    <row r="6" spans="2:26" ht="16.5" x14ac:dyDescent="0.3">
      <c r="J6" s="16" t="s">
        <v>39</v>
      </c>
      <c r="K6" s="17">
        <v>75354</v>
      </c>
      <c r="L6" s="68">
        <v>6</v>
      </c>
      <c r="M6" s="72">
        <v>0.05</v>
      </c>
      <c r="N6" s="72">
        <v>0.2</v>
      </c>
      <c r="O6" s="72">
        <v>2</v>
      </c>
      <c r="P6" s="72">
        <v>2.4</v>
      </c>
      <c r="Q6" s="72">
        <v>2.6</v>
      </c>
      <c r="R6" s="73"/>
      <c r="S6" s="62"/>
      <c r="T6" s="95">
        <v>3.2</v>
      </c>
      <c r="U6" s="101">
        <f t="shared" si="0"/>
        <v>20000</v>
      </c>
      <c r="V6" s="24">
        <f t="shared" si="1"/>
        <v>30000</v>
      </c>
      <c r="W6" s="44">
        <f t="shared" si="2"/>
        <v>30000</v>
      </c>
      <c r="X6" s="98"/>
      <c r="Y6" s="17"/>
      <c r="Z6" s="52"/>
    </row>
    <row r="7" spans="2:26" ht="16.5" x14ac:dyDescent="0.3">
      <c r="J7" s="16" t="s">
        <v>40</v>
      </c>
      <c r="K7" s="17">
        <v>95943</v>
      </c>
      <c r="L7" s="68">
        <v>1</v>
      </c>
      <c r="M7" s="72">
        <v>2.9999999999999997E-4</v>
      </c>
      <c r="N7" s="72">
        <v>0.2</v>
      </c>
      <c r="O7" s="72">
        <v>17000</v>
      </c>
      <c r="P7" s="72">
        <v>2900</v>
      </c>
      <c r="Q7" s="72">
        <v>1500</v>
      </c>
      <c r="R7" s="73"/>
      <c r="S7" s="62"/>
      <c r="T7" s="95">
        <v>2.9</v>
      </c>
      <c r="U7" s="101">
        <f t="shared" si="0"/>
        <v>0.03</v>
      </c>
      <c r="V7" s="24">
        <f t="shared" si="1"/>
        <v>0.05</v>
      </c>
      <c r="W7" s="44">
        <f t="shared" si="2"/>
        <v>0.06</v>
      </c>
      <c r="X7" s="98"/>
      <c r="Y7" s="17"/>
      <c r="Z7" s="52"/>
    </row>
    <row r="8" spans="2:26" ht="17.25" thickBot="1" x14ac:dyDescent="0.35">
      <c r="J8" s="16" t="s">
        <v>41</v>
      </c>
      <c r="K8" s="17">
        <v>95501</v>
      </c>
      <c r="L8" s="68">
        <v>3</v>
      </c>
      <c r="M8" s="72">
        <v>0.3</v>
      </c>
      <c r="N8" s="72">
        <v>0.2</v>
      </c>
      <c r="O8" s="72">
        <v>52</v>
      </c>
      <c r="P8" s="72">
        <v>71</v>
      </c>
      <c r="Q8" s="72">
        <v>82</v>
      </c>
      <c r="R8" s="73"/>
      <c r="S8" s="62"/>
      <c r="T8" s="96">
        <v>2600</v>
      </c>
      <c r="U8" s="101">
        <f t="shared" si="0"/>
        <v>3000</v>
      </c>
      <c r="V8" s="24">
        <f t="shared" si="1"/>
        <v>5000</v>
      </c>
      <c r="W8" s="44">
        <f t="shared" si="2"/>
        <v>5000</v>
      </c>
      <c r="X8" s="98"/>
      <c r="Y8" s="54"/>
      <c r="Z8" s="53"/>
    </row>
    <row r="9" spans="2:26" ht="16.5" x14ac:dyDescent="0.3">
      <c r="B9" s="116" t="s">
        <v>18</v>
      </c>
      <c r="C9" s="117"/>
      <c r="D9" s="124" t="s">
        <v>153</v>
      </c>
      <c r="E9" s="125"/>
      <c r="J9" s="16" t="s">
        <v>42</v>
      </c>
      <c r="K9" s="17">
        <v>541731</v>
      </c>
      <c r="L9" s="68">
        <v>2</v>
      </c>
      <c r="M9" s="72">
        <v>2E-3</v>
      </c>
      <c r="N9" s="72">
        <v>0.2</v>
      </c>
      <c r="O9" s="72">
        <v>31</v>
      </c>
      <c r="P9" s="72">
        <v>120</v>
      </c>
      <c r="Q9" s="72">
        <v>190</v>
      </c>
      <c r="R9" s="73"/>
      <c r="S9" s="62"/>
      <c r="T9" s="96">
        <v>2600</v>
      </c>
      <c r="U9" s="101">
        <f t="shared" si="0"/>
        <v>10</v>
      </c>
      <c r="V9" s="24">
        <f t="shared" si="1"/>
        <v>20</v>
      </c>
      <c r="W9" s="44">
        <f t="shared" si="2"/>
        <v>20</v>
      </c>
      <c r="X9" s="98"/>
      <c r="Y9" s="54"/>
      <c r="Z9" s="53"/>
    </row>
    <row r="10" spans="2:26" ht="16.5" x14ac:dyDescent="0.3">
      <c r="B10" s="4" t="s">
        <v>6</v>
      </c>
      <c r="C10" s="8" t="s">
        <v>19</v>
      </c>
      <c r="D10" s="122">
        <v>80</v>
      </c>
      <c r="E10" s="123"/>
      <c r="J10" s="16" t="s">
        <v>43</v>
      </c>
      <c r="K10" s="17">
        <v>106467</v>
      </c>
      <c r="L10" s="68">
        <v>3</v>
      </c>
      <c r="M10" s="72">
        <v>7.0000000000000007E-2</v>
      </c>
      <c r="N10" s="72">
        <v>0.2</v>
      </c>
      <c r="O10" s="72">
        <v>28</v>
      </c>
      <c r="P10" s="72">
        <v>66</v>
      </c>
      <c r="Q10" s="72">
        <v>84</v>
      </c>
      <c r="R10" s="73"/>
      <c r="S10" s="62"/>
      <c r="T10" s="96">
        <v>2600</v>
      </c>
      <c r="U10" s="101">
        <f t="shared" si="0"/>
        <v>900</v>
      </c>
      <c r="V10" s="24">
        <f t="shared" si="1"/>
        <v>1000</v>
      </c>
      <c r="W10" s="44">
        <f t="shared" si="2"/>
        <v>1000</v>
      </c>
      <c r="X10" s="98"/>
      <c r="Y10" s="54"/>
      <c r="Z10" s="53"/>
    </row>
    <row r="11" spans="2:26" ht="16.5" x14ac:dyDescent="0.3">
      <c r="B11" s="4" t="s">
        <v>8</v>
      </c>
      <c r="C11" s="9" t="s">
        <v>20</v>
      </c>
      <c r="D11" s="122">
        <v>0</v>
      </c>
      <c r="E11" s="123"/>
      <c r="J11" s="16" t="s">
        <v>44</v>
      </c>
      <c r="K11" s="17">
        <v>95954</v>
      </c>
      <c r="L11" s="68">
        <v>2</v>
      </c>
      <c r="M11" s="72">
        <v>0.1</v>
      </c>
      <c r="N11" s="72">
        <v>0.2</v>
      </c>
      <c r="O11" s="72">
        <v>100</v>
      </c>
      <c r="P11" s="72">
        <v>140</v>
      </c>
      <c r="Q11" s="72">
        <v>160</v>
      </c>
      <c r="R11" s="73"/>
      <c r="S11" s="62"/>
      <c r="T11" s="96">
        <v>9800</v>
      </c>
      <c r="U11" s="101">
        <f t="shared" si="0"/>
        <v>600</v>
      </c>
      <c r="V11" s="24">
        <f t="shared" si="1"/>
        <v>900</v>
      </c>
      <c r="W11" s="44">
        <f t="shared" si="2"/>
        <v>900</v>
      </c>
      <c r="X11" s="98"/>
      <c r="Y11" s="54"/>
      <c r="Z11" s="53"/>
    </row>
    <row r="12" spans="2:26" ht="17.25" thickBot="1" x14ac:dyDescent="0.35">
      <c r="B12" s="6" t="s">
        <v>10</v>
      </c>
      <c r="C12" s="12" t="s">
        <v>95</v>
      </c>
      <c r="D12" s="120">
        <v>22</v>
      </c>
      <c r="E12" s="121"/>
      <c r="J12" s="16" t="s">
        <v>45</v>
      </c>
      <c r="K12" s="17">
        <v>120832</v>
      </c>
      <c r="L12" s="68">
        <v>6</v>
      </c>
      <c r="M12" s="72">
        <v>3.0000000000000001E-3</v>
      </c>
      <c r="N12" s="72">
        <v>0.2</v>
      </c>
      <c r="O12" s="72">
        <v>31</v>
      </c>
      <c r="P12" s="72">
        <v>42</v>
      </c>
      <c r="Q12" s="72">
        <v>48</v>
      </c>
      <c r="R12" s="73"/>
      <c r="S12" s="62"/>
      <c r="T12" s="95">
        <v>790</v>
      </c>
      <c r="U12" s="101">
        <f t="shared" si="0"/>
        <v>60</v>
      </c>
      <c r="V12" s="24">
        <f t="shared" si="1"/>
        <v>90</v>
      </c>
      <c r="W12" s="44">
        <f t="shared" si="2"/>
        <v>90</v>
      </c>
      <c r="X12" s="98"/>
      <c r="Y12" s="17"/>
      <c r="Z12" s="52">
        <v>7</v>
      </c>
    </row>
    <row r="13" spans="2:26" ht="16.5" x14ac:dyDescent="0.3">
      <c r="C13" s="2" t="s">
        <v>98</v>
      </c>
      <c r="D13" s="13"/>
      <c r="E13" s="14"/>
      <c r="J13" s="16" t="s">
        <v>46</v>
      </c>
      <c r="K13" s="17">
        <v>105679</v>
      </c>
      <c r="L13" s="68">
        <v>4</v>
      </c>
      <c r="M13" s="72">
        <v>0.02</v>
      </c>
      <c r="N13" s="72">
        <v>0.2</v>
      </c>
      <c r="O13" s="72">
        <v>4.8</v>
      </c>
      <c r="P13" s="72">
        <v>6.2</v>
      </c>
      <c r="Q13" s="72">
        <v>7</v>
      </c>
      <c r="R13" s="73"/>
      <c r="S13" s="62"/>
      <c r="T13" s="96">
        <v>2300</v>
      </c>
      <c r="U13" s="101">
        <f t="shared" si="0"/>
        <v>3000</v>
      </c>
      <c r="V13" s="24">
        <f t="shared" si="1"/>
        <v>4000</v>
      </c>
      <c r="W13" s="44">
        <f t="shared" si="2"/>
        <v>4000</v>
      </c>
      <c r="X13" s="98"/>
      <c r="Y13" s="54"/>
      <c r="Z13" s="53"/>
    </row>
    <row r="14" spans="2:26" ht="16.5" x14ac:dyDescent="0.3">
      <c r="C14" s="4" t="s">
        <v>24</v>
      </c>
      <c r="D14" s="114">
        <v>7.6E-3</v>
      </c>
      <c r="E14" s="115"/>
      <c r="J14" s="16" t="s">
        <v>47</v>
      </c>
      <c r="K14" s="17">
        <v>51285</v>
      </c>
      <c r="L14" s="68">
        <v>2</v>
      </c>
      <c r="M14" s="72">
        <v>2E-3</v>
      </c>
      <c r="N14" s="72">
        <v>0.2</v>
      </c>
      <c r="O14" s="74" t="s">
        <v>48</v>
      </c>
      <c r="P14" s="74" t="s">
        <v>48</v>
      </c>
      <c r="Q14" s="74" t="s">
        <v>48</v>
      </c>
      <c r="R14" s="73"/>
      <c r="S14" s="62"/>
      <c r="T14" s="96">
        <v>14000</v>
      </c>
      <c r="U14" s="101">
        <f>ROUND((M14*N14*$D$10*1000)/($D$11+(D12/1000)*4.4),1-(1+INT(LOG10(ABS((M14*N14*$D$10*1000)/($D$11+(D12/1000)*4.4))))))</f>
        <v>300</v>
      </c>
      <c r="V14" s="24">
        <f>ROUND((M14*N14*$D$10*1000)/($D$11+(D19/1000)*4.4),1-(1+INT(LOG10(ABS((M14*N14*$D$10*1000)/($D$11+(D19/1000)*4.4))))))</f>
        <v>500</v>
      </c>
      <c r="W14" s="44">
        <f>ROUND((M14*N14*$D$10*1000)/($D$11+(D26/1000)*4.4),1-(1+INT(LOG10(ABS((M14*N14*$D$10*1000)/($D$11+(D26/1000)*4.4))))))</f>
        <v>500</v>
      </c>
      <c r="X14" s="98"/>
      <c r="Y14" s="54"/>
      <c r="Z14" s="53"/>
    </row>
    <row r="15" spans="2:26" ht="16.5" x14ac:dyDescent="0.3">
      <c r="C15" s="4" t="s">
        <v>25</v>
      </c>
      <c r="D15" s="114">
        <v>8.6E-3</v>
      </c>
      <c r="E15" s="115"/>
      <c r="J15" s="16" t="s">
        <v>49</v>
      </c>
      <c r="K15" s="17">
        <v>91587</v>
      </c>
      <c r="L15" s="68">
        <v>0</v>
      </c>
      <c r="M15" s="72">
        <v>0.08</v>
      </c>
      <c r="N15" s="72">
        <v>0.8</v>
      </c>
      <c r="O15" s="72">
        <v>150</v>
      </c>
      <c r="P15" s="72">
        <v>210</v>
      </c>
      <c r="Q15" s="72">
        <v>240</v>
      </c>
      <c r="R15" s="73"/>
      <c r="S15" s="62"/>
      <c r="T15" s="95" t="s">
        <v>157</v>
      </c>
      <c r="U15" s="101">
        <f>ROUND((M15*N15*$D$10*1000)/($D$11+(($D$14*O15)+($D$15*P15)+($D$16*Q15))),1-(1+INT(LOG10(ABS((M15*N15*$D$10*1000)/($D$11+(($D$14*O15)+($D$15*P15)+($D$16*Q15))))))))</f>
        <v>1000</v>
      </c>
      <c r="V15" s="24">
        <f>ROUND((M15*N15*$D$10*1000)/($D$11+(($D$21*O15)+($D$22*P15)+($D$23*Q15))),1-(1+INT(LOG10(ABS((M15*N15*$D$10*1000)/($D$11+(($D$21*O15)+($D$22*P15)+($D$23*Q15))))))))</f>
        <v>2000</v>
      </c>
      <c r="W15" s="44">
        <f>ROUND((M15*N15*$D$10*1000)/($D$11+(($D$28*O15)+($D$29*P15)+($D$30*Q15))),1-(1+INT(LOG10(ABS((M15*N15*$D$10*1000)/($D$11+(($D$28*O15)+($D$29*P15)+($D$30*Q15))))))))</f>
        <v>2000</v>
      </c>
      <c r="X15" s="98"/>
      <c r="Y15" s="17"/>
      <c r="Z15" s="52">
        <v>4300</v>
      </c>
    </row>
    <row r="16" spans="2:26" ht="17.25" thickBot="1" x14ac:dyDescent="0.35">
      <c r="C16" s="6" t="s">
        <v>26</v>
      </c>
      <c r="D16" s="118">
        <v>5.1000000000000004E-3</v>
      </c>
      <c r="E16" s="119"/>
      <c r="J16" s="16" t="s">
        <v>50</v>
      </c>
      <c r="K16" s="17">
        <v>95578</v>
      </c>
      <c r="L16" s="68">
        <v>5</v>
      </c>
      <c r="M16" s="72">
        <v>5.0000000000000001E-3</v>
      </c>
      <c r="N16" s="72">
        <v>0.2</v>
      </c>
      <c r="O16" s="72">
        <v>3.8</v>
      </c>
      <c r="P16" s="72">
        <v>4.8</v>
      </c>
      <c r="Q16" s="72">
        <v>5.4</v>
      </c>
      <c r="R16" s="73"/>
      <c r="S16" s="62"/>
      <c r="T16" s="95">
        <v>400</v>
      </c>
      <c r="U16" s="101">
        <f>ROUND((M16*N16*$D$10*1000)/($D$11+(($D$14*O16)+($D$15*P16)+($D$16*Q16))),1-(1+INT(LOG10(ABS((M16*N16*$D$10*1000)/($D$11+(($D$14*O16)+($D$15*P16)+($D$16*Q16))))))))</f>
        <v>800</v>
      </c>
      <c r="V16" s="24">
        <f>ROUND((M16*N16*$D$10*1000)/($D$11+(($D$21*O16)+($D$22*P16)+($D$23*Q16))),1-(1+INT(LOG10(ABS((M16*N16*$D$10*1000)/($D$11+(($D$21*O16)+($D$22*P16)+($D$23*Q16))))))))</f>
        <v>1000</v>
      </c>
      <c r="W16" s="44">
        <f>ROUND((M16*N16*$D$10*1000)/($D$11+(($D$28*O16)+($D$29*P16)+($D$30*Q16))),1-(1+INT(LOG10(ABS((M16*N16*$D$10*1000)/($D$11+(($D$28*O16)+($D$29*P16)+($D$30*Q16))))))))</f>
        <v>1000</v>
      </c>
      <c r="X16" s="98"/>
      <c r="Y16" s="17"/>
      <c r="Z16" s="52"/>
    </row>
    <row r="17" spans="2:26" ht="17.25" thickBot="1" x14ac:dyDescent="0.35">
      <c r="J17" s="16" t="s">
        <v>51</v>
      </c>
      <c r="K17" s="17">
        <v>534521</v>
      </c>
      <c r="L17" s="68">
        <v>0</v>
      </c>
      <c r="M17" s="72">
        <v>2.9999999999999997E-4</v>
      </c>
      <c r="N17" s="72">
        <v>0.2</v>
      </c>
      <c r="O17" s="72">
        <v>6.8</v>
      </c>
      <c r="P17" s="72">
        <v>8.9</v>
      </c>
      <c r="Q17" s="72">
        <v>10</v>
      </c>
      <c r="R17" s="73"/>
      <c r="S17" s="62"/>
      <c r="T17" s="95">
        <v>765</v>
      </c>
      <c r="U17" s="101">
        <f>ROUND((M17*N17*$D$10*1000)/($D$11+(($D$14*O17)+($D$15*P17)+($D$16*Q17))),1-(1+INT(LOG10(ABS((M17*N17*$D$10*1000)/($D$11+(($D$14*O17)+($D$15*P17)+($D$16*Q17))))))))</f>
        <v>30</v>
      </c>
      <c r="V17" s="24">
        <f>ROUND((M17*N17*$D$10*1000)/($D$11+(($D$21*O17)+($D$22*P17)+($D$23*Q17))),1-(1+INT(LOG10(ABS((M17*N17*$D$10*1000)/($D$11+(($D$21*O17)+($D$22*P17)+($D$23*Q17))))))))</f>
        <v>40</v>
      </c>
      <c r="W17" s="44">
        <f>ROUND((M17*N17*$D$10*1000)/($D$11+(($D$28*O17)+($D$29*P17)+($D$30*Q17))),1-(1+INT(LOG10(ABS((M17*N17*$D$10*1000)/($D$11+(($D$28*O17)+($D$29*P17)+($D$30*Q17))))))))</f>
        <v>40</v>
      </c>
      <c r="X17" s="98"/>
      <c r="Y17" s="17"/>
      <c r="Z17" s="52"/>
    </row>
    <row r="18" spans="2:26" ht="16.5" x14ac:dyDescent="0.3">
      <c r="B18" s="116" t="s">
        <v>27</v>
      </c>
      <c r="C18" s="135"/>
      <c r="D18" s="135"/>
      <c r="E18" s="125"/>
      <c r="J18" s="16" t="s">
        <v>52</v>
      </c>
      <c r="K18" s="17">
        <v>59507</v>
      </c>
      <c r="L18" s="68">
        <v>2</v>
      </c>
      <c r="M18" s="72">
        <v>0.1</v>
      </c>
      <c r="N18" s="72">
        <v>0.2</v>
      </c>
      <c r="O18" s="72">
        <v>25</v>
      </c>
      <c r="P18" s="72">
        <v>34</v>
      </c>
      <c r="Q18" s="72">
        <v>39</v>
      </c>
      <c r="R18" s="73"/>
      <c r="S18" s="62"/>
      <c r="T18" s="95" t="s">
        <v>157</v>
      </c>
      <c r="U18" s="101">
        <f>ROUND((M18*N18*$D$10*1000)/($D$11+(($D$14*O18)+($D$15*P18)+($D$16*Q18))),1-(1+INT(LOG10(ABS((M18*N18*$D$10*1000)/($D$11+(($D$14*O18)+($D$15*P18)+($D$16*Q18))))))))</f>
        <v>2000</v>
      </c>
      <c r="V18" s="24">
        <f>ROUND((M18*N18*$D$10*1000)/($D$11+(($D$21*O18)+($D$22*P18)+($D$23*Q18))),1-(1+INT(LOG10(ABS((M18*N18*$D$10*1000)/($D$11+(($D$21*O18)+($D$22*P18)+($D$23*Q18))))))))</f>
        <v>4000</v>
      </c>
      <c r="W18" s="44">
        <f>ROUND((M18*N18*$D$10*1000)/($D$11+(($D$28*O18)+($D$29*P18)+($D$30*Q18))),1-(1+INT(LOG10(ABS((M18*N18*$D$10*1000)/($D$11+(($D$28*O18)+($D$29*P18)+($D$30*Q18))))))))</f>
        <v>4000</v>
      </c>
      <c r="X18" s="98"/>
      <c r="Y18" s="17"/>
      <c r="Z18" s="52"/>
    </row>
    <row r="19" spans="2:26" ht="17.25" thickBot="1" x14ac:dyDescent="0.35">
      <c r="B19" s="6" t="s">
        <v>10</v>
      </c>
      <c r="C19" s="12" t="s">
        <v>95</v>
      </c>
      <c r="D19" s="138">
        <v>14.3</v>
      </c>
      <c r="E19" s="139"/>
      <c r="J19" s="16" t="s">
        <v>53</v>
      </c>
      <c r="K19" s="17">
        <v>83329</v>
      </c>
      <c r="L19" s="68">
        <v>2</v>
      </c>
      <c r="M19" s="72">
        <v>0.06</v>
      </c>
      <c r="N19" s="72">
        <v>0.2</v>
      </c>
      <c r="O19" s="74" t="s">
        <v>54</v>
      </c>
      <c r="P19" s="74" t="s">
        <v>54</v>
      </c>
      <c r="Q19" s="74" t="s">
        <v>54</v>
      </c>
      <c r="R19" s="73"/>
      <c r="S19" s="62"/>
      <c r="T19" s="96">
        <v>2700</v>
      </c>
      <c r="U19" s="101">
        <f>ROUND((M19*N19*$D$10*1000)/($D$11+(D12/1000)*510),1-(1+INT(LOG10(ABS((M19*N19*$D$10*1000)/($D$11+(D12/1000)*510))))))</f>
        <v>90</v>
      </c>
      <c r="V19" s="24">
        <f>ROUND((M19*N19*$D$10*1000)/($D$11+(D19/1000)*510),1-(1+INT(LOG10(ABS((M19*N19*$D$10*1000)/($D$11+(D19/1000)*510))))))</f>
        <v>100</v>
      </c>
      <c r="W19" s="44">
        <f>ROUND((M19*N19*$D$10*1000)/($D$11+(D26/1000)*510),1-(1+INT(LOG10(ABS((M19*N19*$D$10*1000)/($D$11+(D26/1000)*510))))))</f>
        <v>100</v>
      </c>
      <c r="X19" s="98"/>
      <c r="Y19" s="54"/>
      <c r="Z19" s="53"/>
    </row>
    <row r="20" spans="2:26" ht="16.5" x14ac:dyDescent="0.3">
      <c r="C20" s="2" t="s">
        <v>98</v>
      </c>
      <c r="D20" s="13"/>
      <c r="E20" s="14"/>
      <c r="J20" s="16" t="s">
        <v>55</v>
      </c>
      <c r="K20" s="17">
        <v>107028</v>
      </c>
      <c r="L20" s="68">
        <v>1</v>
      </c>
      <c r="M20" s="72">
        <v>5.0000000000000001E-4</v>
      </c>
      <c r="N20" s="72">
        <v>0.2</v>
      </c>
      <c r="O20" s="72">
        <v>1</v>
      </c>
      <c r="P20" s="72">
        <v>1</v>
      </c>
      <c r="Q20" s="72">
        <v>1</v>
      </c>
      <c r="R20" s="73"/>
      <c r="S20" s="62"/>
      <c r="T20" s="95">
        <v>780</v>
      </c>
      <c r="U20" s="101">
        <f>ROUND((M20*N20*$D$10*1000)/($D$11+(($D$14*O20)+($D$15*P20)+($D$16*Q20))),1-(1+INT(LOG10(ABS((M20*N20*$D$10*1000)/($D$11+(($D$14*O20)+($D$15*P20)+($D$16*Q20))))))))</f>
        <v>400</v>
      </c>
      <c r="V20" s="24">
        <f>ROUND((M20*N20*$D$10*1000)/($D$11+(($D$21*O20)+($D$22*P20)+($D$23*Q20))),1-(1+INT(LOG10(ABS((M20*N20*$D$10*1000)/($D$11+(($D$21*O20)+($D$22*P20)+($D$23*Q20))))))))</f>
        <v>600</v>
      </c>
      <c r="W20" s="44">
        <f>ROUND((M20*N20*$D$10*1000)/($D$11+(($D$28*O20)+($D$29*P20)+($D$30*Q20))),1-(1+INT(LOG10(ABS((M20*N20*$D$10*1000)/($D$11+(($D$28*O20)+($D$29*P20)+($D$30*Q20))))))))</f>
        <v>600</v>
      </c>
      <c r="X20" s="98"/>
      <c r="Y20" s="17">
        <v>3</v>
      </c>
      <c r="Z20" s="52">
        <v>3</v>
      </c>
    </row>
    <row r="21" spans="2:26" ht="16.5" x14ac:dyDescent="0.3">
      <c r="C21" s="4" t="s">
        <v>24</v>
      </c>
      <c r="D21" s="114">
        <v>4.1000000000000003E-3</v>
      </c>
      <c r="E21" s="115"/>
      <c r="J21" s="16" t="s">
        <v>56</v>
      </c>
      <c r="K21" s="17">
        <v>959988</v>
      </c>
      <c r="L21" s="68">
        <v>1</v>
      </c>
      <c r="M21" s="72">
        <v>6.0000000000000001E-3</v>
      </c>
      <c r="N21" s="72">
        <v>0.2</v>
      </c>
      <c r="O21" s="72">
        <v>130</v>
      </c>
      <c r="P21" s="72">
        <v>180</v>
      </c>
      <c r="Q21" s="72">
        <v>200</v>
      </c>
      <c r="R21" s="73"/>
      <c r="S21" s="62"/>
      <c r="T21" s="95" t="s">
        <v>157</v>
      </c>
      <c r="U21" s="101">
        <f>ROUND((M21*N21*$D$10*1000)/($D$11+(($D$14*O21)+($D$15*P21)+($D$16*Q21))),1-(1+INT(LOG10(ABS((M21*N21*$D$10*1000)/($D$11+(($D$14*O21)+($D$15*P21)+($D$16*Q21))))))))</f>
        <v>30</v>
      </c>
      <c r="V21" s="24">
        <f>ROUND((M21*N21*$D$10*1000)/($D$11+(($D$21*O21)+($D$22*P21)+($D$23*Q21))),1-(1+INT(LOG10(ABS((M21*N21*$D$10*1000)/($D$11+(($D$21*O21)+($D$22*P21)+($D$23*Q21))))))))</f>
        <v>40</v>
      </c>
      <c r="W21" s="44">
        <f>ROUND((M21*N21*$D$10*1000)/($D$11+(($D$28*O21)+($D$29*P21)+($D$30*Q21))),1-(1+INT(LOG10(ABS((M21*N21*$D$10*1000)/($D$11+(($D$28*O21)+($D$29*P21)+($D$30*Q21))))))))</f>
        <v>40</v>
      </c>
      <c r="X21" s="98"/>
      <c r="Y21" s="17">
        <v>0.22</v>
      </c>
      <c r="Z21" s="52">
        <v>5.6000000000000001E-2</v>
      </c>
    </row>
    <row r="22" spans="2:26" ht="16.5" x14ac:dyDescent="0.3">
      <c r="C22" s="4" t="s">
        <v>25</v>
      </c>
      <c r="D22" s="136">
        <v>4.3E-3</v>
      </c>
      <c r="E22" s="137"/>
      <c r="J22" s="16" t="s">
        <v>57</v>
      </c>
      <c r="K22" s="17">
        <v>120127</v>
      </c>
      <c r="L22" s="68">
        <v>2</v>
      </c>
      <c r="M22" s="72">
        <v>0.3</v>
      </c>
      <c r="N22" s="72">
        <v>0.2</v>
      </c>
      <c r="O22" s="72" t="s">
        <v>58</v>
      </c>
      <c r="P22" s="72" t="s">
        <v>58</v>
      </c>
      <c r="Q22" s="72" t="s">
        <v>58</v>
      </c>
      <c r="R22" s="73"/>
      <c r="S22" s="62"/>
      <c r="T22" s="96">
        <v>110000</v>
      </c>
      <c r="U22" s="101">
        <f>ROUND((M22*N22*$D$10*1000)/($D$11+((D12/1000)*610)),1-(1+INT(LOG10(ABS((M22*N22*$D$10*1000)/($D$11+((D12/1000)*610)))))))</f>
        <v>400</v>
      </c>
      <c r="V22" s="24">
        <f>ROUND((M22*N22*$D$10*1000)/($D$11+((D19/1000)*610)),1-(1+INT(LOG10(ABS((M22*N22*$D$10*1000)/($D$11+((D19/1000)*610)))))))</f>
        <v>600</v>
      </c>
      <c r="W22" s="44">
        <f>ROUND((M22*N22*$D$10*1000)/($D$11+((D26/1000)*610)),1-(1+INT(LOG10(ABS((M22*N22*$D$10*1000)/($D$11+((D26/1000)*610)))))))</f>
        <v>600</v>
      </c>
      <c r="X22" s="98"/>
      <c r="Y22" s="54"/>
      <c r="Z22" s="53"/>
    </row>
    <row r="23" spans="2:26" ht="17.25" thickBot="1" x14ac:dyDescent="0.35">
      <c r="C23" s="6" t="s">
        <v>26</v>
      </c>
      <c r="D23" s="118">
        <v>4.8999999999999998E-3</v>
      </c>
      <c r="E23" s="119"/>
      <c r="J23" s="16" t="s">
        <v>59</v>
      </c>
      <c r="K23" s="17">
        <v>33213659</v>
      </c>
      <c r="L23" s="68">
        <v>0</v>
      </c>
      <c r="M23" s="72">
        <v>6.0000000000000001E-3</v>
      </c>
      <c r="N23" s="72">
        <v>0.2</v>
      </c>
      <c r="O23" s="72">
        <v>80</v>
      </c>
      <c r="P23" s="72">
        <v>110</v>
      </c>
      <c r="Q23" s="72">
        <v>130</v>
      </c>
      <c r="R23" s="73"/>
      <c r="S23" s="62"/>
      <c r="T23" s="95" t="s">
        <v>157</v>
      </c>
      <c r="U23" s="101">
        <f>ROUND((M23*N23*$D$10*1000)/($D$11+(($D$14*O23)+($D$15*P23)+($D$16*Q23))),1-(1+INT(LOG10(ABS((M23*N23*$D$10*1000)/($D$11+(($D$14*O23)+($D$15*P23)+($D$16*Q23))))))))</f>
        <v>40</v>
      </c>
      <c r="V23" s="24">
        <f>ROUND((M23*N23*$D$10*1000)/($D$11+(($D$21*O23)+($D$22*P23)+($D$23*Q23))),1-(1+INT(LOG10(ABS((M23*N23*$D$10*1000)/($D$11+(($D$21*O23)+($D$22*P23)+($D$23*Q23))))))))</f>
        <v>70</v>
      </c>
      <c r="W23" s="44">
        <f>ROUND((M23*N23*$D$10*1000)/($D$11+(($D$28*O23)+($D$29*P23)+($D$30*Q23))),1-(1+INT(LOG10(ABS((M23*N23*$D$10*1000)/($D$11+(($D$28*O23)+($D$29*P23)+($D$30*Q23))))))))</f>
        <v>70</v>
      </c>
      <c r="X23" s="98"/>
      <c r="Y23" s="17">
        <v>0.22</v>
      </c>
      <c r="Z23" s="52">
        <v>5.6000000000000001E-2</v>
      </c>
    </row>
    <row r="24" spans="2:26" ht="17.25" thickBot="1" x14ac:dyDescent="0.35">
      <c r="J24" s="16" t="s">
        <v>60</v>
      </c>
      <c r="K24" s="17">
        <v>108601</v>
      </c>
      <c r="L24" s="68">
        <v>1</v>
      </c>
      <c r="M24" s="72">
        <v>0.04</v>
      </c>
      <c r="N24" s="72">
        <v>0.2</v>
      </c>
      <c r="O24" s="72">
        <v>6.7</v>
      </c>
      <c r="P24" s="72">
        <v>8.8000000000000007</v>
      </c>
      <c r="Q24" s="72">
        <v>10</v>
      </c>
      <c r="R24" s="73"/>
      <c r="S24" s="62"/>
      <c r="T24" s="96">
        <v>4360</v>
      </c>
      <c r="U24" s="101">
        <f>ROUND((M24*N24*$D$10*1000)/($D$11+(($D$14*O24)+($D$15*P24)+($D$16*Q24))),1-(1+INT(LOG10(ABS((M24*N24*$D$10*1000)/($D$11+(($D$14*O24)+($D$15*P24)+($D$16*Q24))))))))</f>
        <v>4000</v>
      </c>
      <c r="V24" s="24">
        <f>ROUND((M24*N24*$D$10*1000)/($D$11+(($D$21*O24)+($D$22*P24)+($D$23*Q24))),1-(1+INT(LOG10(ABS((M24*N24*$D$10*1000)/($D$11+(($D$21*O24)+($D$22*P24)+($D$23*Q24))))))))</f>
        <v>6000</v>
      </c>
      <c r="W24" s="44">
        <f>ROUND((M24*N24*$D$10*1000)/($D$11+(($D$28*O24)+($D$29*P24)+($D$30*Q24))),1-(1+INT(LOG10(ABS((M24*N24*$D$10*1000)/($D$11+(($D$28*O24)+($D$29*P24)+($D$30*Q24))))))))</f>
        <v>6000</v>
      </c>
      <c r="X24" s="98"/>
      <c r="Y24" s="54"/>
      <c r="Z24" s="53"/>
    </row>
    <row r="25" spans="2:26" ht="16.5" x14ac:dyDescent="0.3">
      <c r="B25" s="116" t="s">
        <v>28</v>
      </c>
      <c r="C25" s="135"/>
      <c r="D25" s="135"/>
      <c r="E25" s="125"/>
      <c r="J25" s="16" t="s">
        <v>61</v>
      </c>
      <c r="K25" s="17">
        <v>108907</v>
      </c>
      <c r="L25" s="68">
        <v>5</v>
      </c>
      <c r="M25" s="72">
        <v>0.02</v>
      </c>
      <c r="N25" s="72">
        <v>0.2</v>
      </c>
      <c r="O25" s="72">
        <v>14</v>
      </c>
      <c r="P25" s="72">
        <v>19</v>
      </c>
      <c r="Q25" s="72">
        <v>22</v>
      </c>
      <c r="R25" s="73"/>
      <c r="S25" s="62"/>
      <c r="T25" s="96">
        <v>21000</v>
      </c>
      <c r="U25" s="101">
        <f>ROUND((M25*N25*$D$10*1000)/($D$11+(($D$14*O25)+($D$15*P25)+($D$16*Q25))),1-(1+INT(LOG10(ABS((M25*N25*$D$10*1000)/($D$11+(($D$14*O25)+($D$15*P25)+($D$16*Q25))))))))</f>
        <v>800</v>
      </c>
      <c r="V25" s="24">
        <f>ROUND((M25*N25*$D$10*1000)/($D$11+(($D$21*O25)+($D$22*P25)+($D$23*Q25))),1-(1+INT(LOG10(ABS((M25*N25*$D$10*1000)/($D$11+(($D$21*O25)+($D$22*P25)+($D$23*Q25))))))))</f>
        <v>1000</v>
      </c>
      <c r="W25" s="44">
        <f>ROUND((M25*N25*$D$10*1000)/($D$11+(($D$28*O25)+($D$29*P25)+($D$30*Q25))),1-(1+INT(LOG10(ABS((M25*N25*$D$10*1000)/($D$11+(($D$28*O25)+($D$29*P25)+($D$30*Q25))))))))</f>
        <v>1000</v>
      </c>
      <c r="X25" s="98"/>
      <c r="Y25" s="54"/>
      <c r="Z25" s="53"/>
    </row>
    <row r="26" spans="2:26" ht="17.25" thickBot="1" x14ac:dyDescent="0.35">
      <c r="B26" s="6" t="s">
        <v>10</v>
      </c>
      <c r="C26" s="12" t="s">
        <v>95</v>
      </c>
      <c r="D26" s="138">
        <v>13.5</v>
      </c>
      <c r="E26" s="139"/>
      <c r="J26" s="16" t="s">
        <v>62</v>
      </c>
      <c r="K26" s="17">
        <v>93721</v>
      </c>
      <c r="L26" s="68">
        <v>0</v>
      </c>
      <c r="M26" s="72">
        <v>8.0000000000000002E-3</v>
      </c>
      <c r="N26" s="72">
        <v>0.8</v>
      </c>
      <c r="O26" s="72" t="s">
        <v>63</v>
      </c>
      <c r="P26" s="72" t="s">
        <v>63</v>
      </c>
      <c r="Q26" s="72" t="s">
        <v>63</v>
      </c>
      <c r="R26" s="73"/>
      <c r="S26" s="62"/>
      <c r="T26" s="95" t="s">
        <v>157</v>
      </c>
      <c r="U26" s="101">
        <f>ROUND((M26*N26*$D$10*1000)/($D$11+((D12/1000)*58)),1-(1+INT(LOG10(ABS((M26*N26*$D$10*1000)/($D$11+((D12/1000)*58)))))))</f>
        <v>400</v>
      </c>
      <c r="V26" s="24">
        <f>ROUND((M26*N26*$D$10*1000)/($D$11+((D19/1000)*58)),1-(1+INT(LOG10(ABS((M26*N26*$D$10*1000)/($D$11+((D19/1000)*58)))))))</f>
        <v>600</v>
      </c>
      <c r="W26" s="44">
        <f>ROUND((M26*N26*$D$10*1000)/($D$11+((D26/1000)*58)),1-(1+INT(LOG10(ABS((M26*N26*$D$10*1000)/($D$11+((D26/1000)*58)))))))</f>
        <v>700</v>
      </c>
      <c r="X26" s="98"/>
      <c r="Y26" s="17"/>
      <c r="Z26" s="52"/>
    </row>
    <row r="27" spans="2:26" ht="16.5" x14ac:dyDescent="0.3">
      <c r="C27" s="2" t="s">
        <v>98</v>
      </c>
      <c r="D27" s="13"/>
      <c r="E27" s="14"/>
      <c r="J27" s="16" t="s">
        <v>64</v>
      </c>
      <c r="K27" s="17">
        <v>94757</v>
      </c>
      <c r="L27" s="68">
        <v>0</v>
      </c>
      <c r="M27" s="72">
        <v>0.21</v>
      </c>
      <c r="N27" s="72">
        <v>0.2</v>
      </c>
      <c r="O27" s="72" t="s">
        <v>65</v>
      </c>
      <c r="P27" s="72" t="s">
        <v>65</v>
      </c>
      <c r="Q27" s="72" t="s">
        <v>65</v>
      </c>
      <c r="R27" s="73"/>
      <c r="S27" s="62"/>
      <c r="T27" s="95" t="s">
        <v>157</v>
      </c>
      <c r="U27" s="101">
        <f>ROUND((M27*N27*$D$10*1000)/($D$11+((D12/1000)*13)),1-(1+INT(LOG10(ABS((M27*N27*$D$10*1000)/($D$11+((D12/1000)*13)))))))</f>
        <v>10000</v>
      </c>
      <c r="V27" s="24">
        <f>ROUND((M27*N27*$D$10*1000)/($D$11+((D19/1000)*13)),1-(1+INT(LOG10(ABS((M27*N27*$D$10*1000)/($D$11+((D19/1000)*13)))))))</f>
        <v>20000</v>
      </c>
      <c r="W27" s="44">
        <f>ROUND((M27*N27*$D$10*1000)/($D$11+((D26/1000)*13)),1-(1+INT(LOG10(ABS((M27*N27*$D$10*1000)/($D$11+((D26/1000)*13)))))))</f>
        <v>20000</v>
      </c>
      <c r="X27" s="98"/>
      <c r="Y27" s="17"/>
      <c r="Z27" s="52"/>
    </row>
    <row r="28" spans="2:26" ht="16.5" x14ac:dyDescent="0.3">
      <c r="C28" s="4" t="s">
        <v>24</v>
      </c>
      <c r="D28" s="114">
        <v>3.5999999999999999E-3</v>
      </c>
      <c r="E28" s="115"/>
      <c r="J28" s="16" t="s">
        <v>66</v>
      </c>
      <c r="K28" s="17">
        <v>57125</v>
      </c>
      <c r="L28" s="68">
        <v>47</v>
      </c>
      <c r="M28" s="72">
        <v>5.9999999999999995E-4</v>
      </c>
      <c r="N28" s="72">
        <v>0.2</v>
      </c>
      <c r="O28" s="72" t="s">
        <v>38</v>
      </c>
      <c r="P28" s="72" t="s">
        <v>38</v>
      </c>
      <c r="Q28" s="72" t="s">
        <v>38</v>
      </c>
      <c r="R28" s="73" t="s">
        <v>67</v>
      </c>
      <c r="S28" s="62"/>
      <c r="T28" s="95" t="s">
        <v>157</v>
      </c>
      <c r="U28" s="101">
        <f>ROUND((M28*N28*$D$10*1000)/($D$11+((D12/1000)*1)),1-(1+INT(LOG10(ABS((M28*N28*$D$10*1000)/($D$11+((D12/1000)*1)))))))</f>
        <v>400</v>
      </c>
      <c r="V28" s="24">
        <f>ROUND((M28*N28*$D$10*1000)/($D$11+((D19/1000)*1)),1-(1+INT(LOG10(ABS((M28*N28*$D$10*1000)/($D$11+((D19/1000)*1)))))))</f>
        <v>700</v>
      </c>
      <c r="W28" s="44">
        <f>ROUND((M28*N28*$D$10*1000)/($D$11+((D26/1000)*1)),1-(1+INT(LOG10(ABS((M28*N28*$D$10*1000)/($D$11+((D26/1000)*1)))))))</f>
        <v>700</v>
      </c>
      <c r="X28" s="98"/>
      <c r="Y28" s="17">
        <v>22</v>
      </c>
      <c r="Z28" s="52">
        <v>5.2</v>
      </c>
    </row>
    <row r="29" spans="2:26" ht="16.5" x14ac:dyDescent="0.3">
      <c r="C29" s="4" t="s">
        <v>25</v>
      </c>
      <c r="D29" s="136">
        <v>3.8999999999999998E-3</v>
      </c>
      <c r="E29" s="137"/>
      <c r="J29" s="16" t="s">
        <v>68</v>
      </c>
      <c r="K29" s="17">
        <v>84662</v>
      </c>
      <c r="L29" s="68">
        <v>3</v>
      </c>
      <c r="M29" s="72">
        <v>0.8</v>
      </c>
      <c r="N29" s="72">
        <v>0.2</v>
      </c>
      <c r="O29" s="72" t="s">
        <v>69</v>
      </c>
      <c r="P29" s="72" t="s">
        <v>69</v>
      </c>
      <c r="Q29" s="72" t="s">
        <v>69</v>
      </c>
      <c r="R29" s="73"/>
      <c r="S29" s="62"/>
      <c r="T29" s="96">
        <v>120000</v>
      </c>
      <c r="U29" s="101">
        <f>ROUND((M29*N29*$D$10*1000)/($D$11+((D12/1000)*920)),1-(1+INT(LOG10(ABS((M29*N29*$D$10*1000)/($D$11+((D12/1000)*920)))))))</f>
        <v>600</v>
      </c>
      <c r="V29" s="24">
        <f>ROUND((M29*N29*$D$10*1000)/($D$11+((D19/1000)*920)),1-(1+INT(LOG10(ABS((M29*N29*$D$10*1000)/($D$11+((D19/1000)*920)))))))</f>
        <v>1000</v>
      </c>
      <c r="W29" s="44">
        <f>ROUND((M29*N29*$D$10*1000)/($D$11+((D26/1000)*920)),1-(1+INT(LOG10(ABS((M29*N29*$D$10*1000)/($D$11+((D26/1000)*920)))))))</f>
        <v>1000</v>
      </c>
      <c r="X29" s="98"/>
      <c r="Y29" s="54"/>
      <c r="Z29" s="53"/>
    </row>
    <row r="30" spans="2:26" ht="17.25" thickBot="1" x14ac:dyDescent="0.35">
      <c r="C30" s="6" t="s">
        <v>26</v>
      </c>
      <c r="D30" s="118">
        <v>5.1000000000000004E-3</v>
      </c>
      <c r="E30" s="119"/>
      <c r="J30" s="16" t="s">
        <v>70</v>
      </c>
      <c r="K30" s="17">
        <v>131113</v>
      </c>
      <c r="L30" s="68">
        <v>2</v>
      </c>
      <c r="M30" s="72">
        <v>10</v>
      </c>
      <c r="N30" s="72">
        <v>0.2</v>
      </c>
      <c r="O30" s="72" t="s">
        <v>71</v>
      </c>
      <c r="P30" s="72" t="s">
        <v>71</v>
      </c>
      <c r="Q30" s="72" t="s">
        <v>71</v>
      </c>
      <c r="R30" s="73"/>
      <c r="S30" s="62"/>
      <c r="T30" s="96">
        <v>2900000</v>
      </c>
      <c r="U30" s="101">
        <f>ROUND((M30*N30*$D$10*1000)/($D$11+((D12/1000)*4000)),1-(1+INT(LOG10(ABS((M30*N30*$D$10*1000)/($D$11+((D12/1000)*4000)))))))</f>
        <v>2000</v>
      </c>
      <c r="V30" s="24">
        <f>ROUND((M30*N30*$D$10*1000)/($D$11+((D19/1000)*4000)),1-(1+INT(LOG10(ABS((M30*N30*$D$10*1000)/($D$11+((D19/1000)*4000)))))))</f>
        <v>3000</v>
      </c>
      <c r="W30" s="44">
        <f>ROUND((M30*N30*$D$10*1000)/($D$11+((D26/1000)*4000)),1-(1+INT(LOG10(ABS((M30*N30*$D$10*1000)/($D$11+((D26/1000)*4000)))))))</f>
        <v>3000</v>
      </c>
      <c r="X30" s="98"/>
      <c r="Y30" s="54"/>
      <c r="Z30" s="53"/>
    </row>
    <row r="31" spans="2:26" ht="16.5" x14ac:dyDescent="0.3">
      <c r="J31" s="16" t="s">
        <v>72</v>
      </c>
      <c r="K31" s="17">
        <v>84742</v>
      </c>
      <c r="L31" s="68">
        <v>2</v>
      </c>
      <c r="M31" s="72">
        <v>0.1</v>
      </c>
      <c r="N31" s="72">
        <v>0.2</v>
      </c>
      <c r="O31" s="72" t="s">
        <v>73</v>
      </c>
      <c r="P31" s="72" t="s">
        <v>73</v>
      </c>
      <c r="Q31" s="72" t="s">
        <v>73</v>
      </c>
      <c r="R31" s="73"/>
      <c r="S31" s="62"/>
      <c r="T31" s="96">
        <v>12000</v>
      </c>
      <c r="U31" s="101">
        <f>ROUND((M31*N31*$D$10*1000)/($D$11+((D12/1000)*2900)),1-(1+INT(LOG10(ABS((M31*N31*$D$10*1000)/($D$11+((D12/1000)*2900)))))))</f>
        <v>30</v>
      </c>
      <c r="V31" s="24">
        <f>ROUND((M31*N31*$D$10*1000)/($D$11+((D19/1000)*2900)),1-(1+INT(LOG10(ABS((M31*N31*$D$10*1000)/($D$11+((D19/1000)*2900)))))))</f>
        <v>40</v>
      </c>
      <c r="W31" s="44">
        <f>ROUND((M31*N31*$D$10*1000)/($D$11+((D26/1000)*2900)),1-(1+INT(LOG10(ABS((M31*N31*$D$10*1000)/($D$11+((D26/1000)*2900)))))))</f>
        <v>40</v>
      </c>
      <c r="X31" s="98"/>
      <c r="Y31" s="54"/>
      <c r="Z31" s="53"/>
    </row>
    <row r="32" spans="2:26" ht="16.5" x14ac:dyDescent="0.3">
      <c r="J32" s="16" t="s">
        <v>74</v>
      </c>
      <c r="K32" s="17">
        <v>25550587</v>
      </c>
      <c r="L32" s="77">
        <v>2</v>
      </c>
      <c r="M32" s="72">
        <v>2E-3</v>
      </c>
      <c r="N32" s="72">
        <v>0.2</v>
      </c>
      <c r="O32" s="72" t="s">
        <v>38</v>
      </c>
      <c r="P32" s="72" t="s">
        <v>38</v>
      </c>
      <c r="Q32" s="72" t="s">
        <v>38</v>
      </c>
      <c r="R32" s="73" t="s">
        <v>75</v>
      </c>
      <c r="S32" s="62"/>
      <c r="T32" s="95" t="s">
        <v>157</v>
      </c>
      <c r="U32" s="101">
        <f>ROUND((M32*N32*$D$10*1000)/($D$11+((D12/1000)*1.51)),1-(1+INT(LOG10(ABS((M32*N32*$D$10*1000)/($D$11+((D12/1000)*1.51)))))))</f>
        <v>1000</v>
      </c>
      <c r="V32" s="24">
        <f>ROUND((M32*N32*$D$10*1000)/($D$11+((D19/1000)*1.51)),1-(1+INT(LOG10(ABS((M32*N32*$D$10*1000)/($D$11+((D19/1000)*1.51)))))))</f>
        <v>1000</v>
      </c>
      <c r="W32" s="44">
        <f>ROUND((M32*N32*$D$10*1000)/($D$11+((D26/1000)*1.51)),1-(1+INT(LOG10(ABS((M32*N32*$D$10*1000)/($D$11+((D26/1000)*1.51)))))))</f>
        <v>2000</v>
      </c>
      <c r="X32" s="98"/>
      <c r="Y32" s="17"/>
      <c r="Z32" s="52"/>
    </row>
    <row r="33" spans="10:26" ht="16.5" x14ac:dyDescent="0.3">
      <c r="J33" s="16" t="s">
        <v>76</v>
      </c>
      <c r="K33" s="17">
        <v>1031078</v>
      </c>
      <c r="L33" s="68">
        <v>1</v>
      </c>
      <c r="M33" s="72">
        <v>6.0000000000000001E-3</v>
      </c>
      <c r="N33" s="72">
        <v>0.2</v>
      </c>
      <c r="O33" s="72">
        <v>88</v>
      </c>
      <c r="P33" s="72">
        <v>120</v>
      </c>
      <c r="Q33" s="72">
        <v>140</v>
      </c>
      <c r="R33" s="73"/>
      <c r="S33" s="62"/>
      <c r="T33" s="95" t="s">
        <v>157</v>
      </c>
      <c r="U33" s="101">
        <f>ROUND((M33*N33*$D$10*1000)/($D$11+(($D$14*O33)+($D$15*P33)+($D$16*Q33))),1-(1+INT(LOG10(ABS((M33*N33*$D$10*1000)/($D$11+(($D$14*O33)+($D$15*P33)+($D$16*Q33))))))))</f>
        <v>40</v>
      </c>
      <c r="V33" s="24">
        <f>ROUND((M33*N33*$D$10*1000)/($D$11+(($D$21*O33)+($D$22*P33)+($D$23*Q33))),1-(1+INT(LOG10(ABS((M33*N33*$D$10*1000)/($D$11+(($D$21*O33)+($D$22*P33)+($D$23*Q33))))))))</f>
        <v>60</v>
      </c>
      <c r="W33" s="44">
        <f>ROUND((M33*N33*$D$10*1000)/($D$11+(($D$28*O33)+($D$29*P33)+($D$30*Q33))),1-(1+INT(LOG10(ABS((M33*N33*$D$10*1000)/($D$11+(($D$28*O33)+($D$29*P33)+($D$30*Q33))))))))</f>
        <v>60</v>
      </c>
      <c r="X33" s="98"/>
      <c r="Y33" s="17"/>
      <c r="Z33" s="52"/>
    </row>
    <row r="34" spans="10:26" ht="16.5" x14ac:dyDescent="0.3">
      <c r="J34" s="16" t="s">
        <v>77</v>
      </c>
      <c r="K34" s="17">
        <v>72208</v>
      </c>
      <c r="L34" s="68">
        <v>2</v>
      </c>
      <c r="M34" s="72">
        <v>2.9999999999999997E-4</v>
      </c>
      <c r="N34" s="72">
        <v>0.8</v>
      </c>
      <c r="O34" s="72">
        <v>4600</v>
      </c>
      <c r="P34" s="72">
        <v>36000</v>
      </c>
      <c r="Q34" s="72">
        <v>46000</v>
      </c>
      <c r="R34" s="73"/>
      <c r="S34" s="62"/>
      <c r="T34" s="95">
        <v>2.3E-3</v>
      </c>
      <c r="U34" s="101">
        <f>ROUND((M34*N34*$D$10*1000)/($D$11+(($D$14*O34)+($D$15*P34)+($D$16*Q34))),1-(1+INT(LOG10(ABS((M34*N34*$D$10*1000)/($D$11+(($D$14*O34)+($D$15*P34)+($D$16*Q34))))))))</f>
        <v>0.03</v>
      </c>
      <c r="V34" s="24">
        <f>ROUND((M34*N34*$D$10*1000)/($D$11+(($D$21*O34)+($D$22*P34)+($D$23*Q34))),1-(1+INT(LOG10(ABS((M34*N34*$D$10*1000)/($D$11+(($D$21*O34)+($D$22*P34)+($D$23*Q34))))))))</f>
        <v>0.05</v>
      </c>
      <c r="W34" s="44">
        <f>ROUND((M34*N34*$D$10*1000)/($D$11+(($D$28*O34)+($D$29*P34)+($D$30*Q34))),1-(1+INT(LOG10(ABS((M34*N34*$D$10*1000)/($D$11+(($D$28*O34)+($D$29*P34)+($D$30*Q34))))))))</f>
        <v>0.05</v>
      </c>
      <c r="X34" s="98"/>
      <c r="Y34" s="17">
        <v>8.5999999999999993E-2</v>
      </c>
      <c r="Z34" s="52">
        <v>3.5999999999999997E-2</v>
      </c>
    </row>
    <row r="35" spans="10:26" ht="16.5" x14ac:dyDescent="0.3">
      <c r="J35" s="16" t="s">
        <v>78</v>
      </c>
      <c r="K35" s="17">
        <v>7421934</v>
      </c>
      <c r="L35" s="68">
        <v>1</v>
      </c>
      <c r="M35" s="72">
        <v>2.9999999999999997E-4</v>
      </c>
      <c r="N35" s="72">
        <v>0.8</v>
      </c>
      <c r="O35" s="72">
        <v>440</v>
      </c>
      <c r="P35" s="72">
        <v>930</v>
      </c>
      <c r="Q35" s="72">
        <v>850</v>
      </c>
      <c r="R35" s="73"/>
      <c r="S35" s="62"/>
      <c r="T35" s="95">
        <v>2.3E-3</v>
      </c>
      <c r="U35" s="101">
        <f>ROUND((M35*N35*$D$10*1000)/($D$11+(($D$14*O35)+($D$15*P35)+($D$16*Q35))),1-(1+INT(LOG10(ABS((M35*N35*$D$10*1000)/($D$11+(($D$14*O35)+($D$15*P35)+($D$16*Q35))))))))</f>
        <v>1</v>
      </c>
      <c r="V35" s="24">
        <f>ROUND((M35*N35*$D$10*1000)/($D$11+(($D$21*O35)+($D$22*P35)+($D$23*Q35))),1-(1+INT(LOG10(ABS((M35*N35*$D$10*1000)/($D$11+(($D$21*O35)+($D$22*P35)+($D$23*Q35))))))))</f>
        <v>2</v>
      </c>
      <c r="W35" s="44">
        <f>ROUND((M35*N35*$D$10*1000)/($D$11+(($D$28*O35)+($D$29*P35)+($D$30*Q35))),1-(1+INT(LOG10(ABS((M35*N35*$D$10*1000)/($D$11+(($D$28*O35)+($D$29*P35)+($D$30*Q35))))))))</f>
        <v>2</v>
      </c>
      <c r="X35" s="98"/>
      <c r="Y35" s="17"/>
      <c r="Z35" s="52"/>
    </row>
    <row r="36" spans="10:26" ht="16.5" x14ac:dyDescent="0.3">
      <c r="J36" s="16" t="s">
        <v>79</v>
      </c>
      <c r="K36" s="17">
        <v>100414</v>
      </c>
      <c r="L36" s="68">
        <v>186</v>
      </c>
      <c r="M36" s="72">
        <v>2.1999999999999999E-2</v>
      </c>
      <c r="N36" s="72">
        <v>0.2</v>
      </c>
      <c r="O36" s="72">
        <v>100</v>
      </c>
      <c r="P36" s="72">
        <v>140</v>
      </c>
      <c r="Q36" s="72">
        <v>160</v>
      </c>
      <c r="R36" s="73"/>
      <c r="S36" s="62"/>
      <c r="T36" s="95" t="s">
        <v>157</v>
      </c>
      <c r="U36" s="101">
        <f>ROUND((M36*N36*$D$10*1000)/($D$11+(($D$14*O36)+($D$15*P36)+($D$16*Q36))),2-(1+INT(LOG10(ABS((M36*N36*$D$10*1000)/($D$11+(($D$14*O36)+($D$15*P36)+($D$16*Q36))))))))</f>
        <v>130</v>
      </c>
      <c r="V36" s="24">
        <f>ROUND((M36*N36*$D$10*1000)/($D$11+(($D$21*O36)+($D$22*P36)+($D$23*Q36))),2-(1+INT(LOG10(ABS((M36*N36*$D$10*1000)/($D$11+(($D$21*O36)+($D$22*P36)+($D$23*Q36))))))))</f>
        <v>200</v>
      </c>
      <c r="W36" s="44">
        <f>ROUND((M36*N36*$D$10*1000)/($D$11+(($D$28*O36)+($D$29*P36)+($D$30*Q36))),1-(1+INT(LOG10(ABS((M36*N36*$D$10*1000)/($D$11+(($D$28*O36)+($D$29*P36)+($D$30*Q36))))))))</f>
        <v>200</v>
      </c>
      <c r="X36" s="98"/>
      <c r="Y36" s="17"/>
      <c r="Z36" s="52">
        <v>320</v>
      </c>
    </row>
    <row r="37" spans="10:26" ht="16.5" x14ac:dyDescent="0.3">
      <c r="J37" s="16" t="s">
        <v>80</v>
      </c>
      <c r="K37" s="17">
        <v>206440</v>
      </c>
      <c r="L37" s="68">
        <v>2</v>
      </c>
      <c r="M37" s="72">
        <v>0.04</v>
      </c>
      <c r="N37" s="72">
        <v>0.2</v>
      </c>
      <c r="O37" s="72" t="s">
        <v>81</v>
      </c>
      <c r="P37" s="72" t="s">
        <v>81</v>
      </c>
      <c r="Q37" s="72" t="s">
        <v>81</v>
      </c>
      <c r="R37" s="73"/>
      <c r="S37" s="62"/>
      <c r="T37" s="95">
        <v>370</v>
      </c>
      <c r="U37" s="101">
        <f>ROUND((M37*N37*$D$10*1000)/($D$11+((D12/1000)*1500)),1-(1+INT(LOG10(ABS((M37*N37*$D$10*1000)/($D$11+((D12/1000)*1500)))))))</f>
        <v>20</v>
      </c>
      <c r="V37" s="24">
        <f>ROUND((M37*N37*$D$10*1000)/($D$11+((D19/1000)*1500)),1-(1+INT(LOG10(ABS((M37*N37*$D$10*1000)/($D$11+((D19/1000)*1500)))))))</f>
        <v>30</v>
      </c>
      <c r="W37" s="44">
        <f>ROUND((M37*N37*$D$10*1000)/($D$11+((D26/1000)*1500)),1-(1+INT(LOG10(ABS((M37*N37*$D$10*1000)/($D$11+((D26/1000)*1500)))))))</f>
        <v>30</v>
      </c>
      <c r="X37" s="98"/>
      <c r="Y37" s="17"/>
      <c r="Z37" s="52"/>
    </row>
    <row r="38" spans="10:26" ht="16.5" x14ac:dyDescent="0.3">
      <c r="J38" s="16" t="s">
        <v>82</v>
      </c>
      <c r="K38" s="17">
        <v>86737</v>
      </c>
      <c r="L38" s="68">
        <v>2</v>
      </c>
      <c r="M38" s="72">
        <v>0.04</v>
      </c>
      <c r="N38" s="72">
        <v>0.2</v>
      </c>
      <c r="O38" s="72">
        <v>230</v>
      </c>
      <c r="P38" s="72">
        <v>450</v>
      </c>
      <c r="Q38" s="72">
        <v>710</v>
      </c>
      <c r="R38" s="73"/>
      <c r="S38" s="62"/>
      <c r="T38" s="96">
        <v>14000</v>
      </c>
      <c r="U38" s="101">
        <f>ROUND((M38*N38*$D$10*1000)/($D$11+(($D$14*O38)+($D$15*P38)+($D$16*Q38))),1-(1+INT(LOG10(ABS((M38*N38*$D$10*1000)/($D$11+(($D$14*O38)+($D$15*P38)+($D$16*Q38))))))))</f>
        <v>70</v>
      </c>
      <c r="V38" s="24">
        <f>ROUND((M38*N38*$D$10*1000)/($D$11+(($D$21*O38)+($D$22*P38)+($D$23*Q38))),1-(1+INT(LOG10(ABS((M38*N38*$D$10*1000)/($D$11+(($D$21*O38)+($D$22*P38)+($D$23*Q38))))))))</f>
        <v>100</v>
      </c>
      <c r="W38" s="44">
        <f t="shared" ref="W38:W45" si="3">ROUND((M38*N38*$D$10*1000)/($D$11+(($D$28*O38)+($D$29*P38)+($D$30*Q38))),1-(1+INT(LOG10(ABS((M38*N38*$D$10*1000)/($D$11+(($D$28*O38)+($D$29*P38)+($D$30*Q38))))))))</f>
        <v>100</v>
      </c>
      <c r="X38" s="98"/>
      <c r="Y38" s="54"/>
      <c r="Z38" s="53"/>
    </row>
    <row r="39" spans="10:26" ht="16.5" x14ac:dyDescent="0.3">
      <c r="J39" s="16" t="s">
        <v>83</v>
      </c>
      <c r="K39" s="17">
        <v>58899</v>
      </c>
      <c r="L39" s="68">
        <v>3</v>
      </c>
      <c r="M39" s="72">
        <v>4.7000000000000002E-3</v>
      </c>
      <c r="N39" s="72">
        <v>0.5</v>
      </c>
      <c r="O39" s="72">
        <v>1200</v>
      </c>
      <c r="P39" s="72">
        <v>2400</v>
      </c>
      <c r="Q39" s="72">
        <v>2500</v>
      </c>
      <c r="R39" s="73"/>
      <c r="S39" s="62"/>
      <c r="T39" s="95">
        <v>6.2E-2</v>
      </c>
      <c r="U39" s="101">
        <f>ROUND((M39*N39*$D$10*1000)/($D$11+(($D$14*O39)+($D$15*P39)+($D$16*Q39))),2-(1+INT(LOG10(ABS((M39*N39*$D$10*1000)/($D$11+(($D$14*O39)+($D$15*P39)+($D$16*Q39))))))))</f>
        <v>4.4000000000000004</v>
      </c>
      <c r="V39" s="24">
        <f>ROUND((M39*N39*$D$10*1000)/($D$11+(($D$21*O39)+($D$22*P39)+($D$23*Q39))),2-(1+INT(LOG10(ABS((M39*N39*$D$10*1000)/($D$11+(($D$21*O39)+($D$22*P39)+($D$23*Q39))))))))</f>
        <v>6.8</v>
      </c>
      <c r="W39" s="44">
        <f t="shared" si="3"/>
        <v>7</v>
      </c>
      <c r="X39" s="98"/>
      <c r="Y39" s="17">
        <v>0.95</v>
      </c>
      <c r="Z39" s="52"/>
    </row>
    <row r="40" spans="10:26" ht="16.5" x14ac:dyDescent="0.3">
      <c r="J40" s="16" t="s">
        <v>84</v>
      </c>
      <c r="K40" s="17">
        <v>77474</v>
      </c>
      <c r="L40" s="68">
        <v>1</v>
      </c>
      <c r="M40" s="72">
        <v>6.0000000000000001E-3</v>
      </c>
      <c r="N40" s="72">
        <v>0.2</v>
      </c>
      <c r="O40" s="72">
        <v>620</v>
      </c>
      <c r="P40" s="72">
        <v>1500</v>
      </c>
      <c r="Q40" s="72">
        <v>1300</v>
      </c>
      <c r="R40" s="73"/>
      <c r="S40" s="62"/>
      <c r="T40" s="95" t="s">
        <v>157</v>
      </c>
      <c r="U40" s="101">
        <f t="shared" ref="U40:U45" si="4">ROUND((M40*N40*$D$10*1000)/($D$11+(($D$14*O40)+($D$15*P40)+($D$16*Q40))),1-(1+INT(LOG10(ABS((M40*N40*$D$10*1000)/($D$11+(($D$14*O40)+($D$15*P40)+($D$16*Q40))))))))</f>
        <v>4</v>
      </c>
      <c r="V40" s="24">
        <f t="shared" ref="V40:V45" si="5">ROUND((M40*N40*$D$10*1000)/($D$11+(($D$21*O40)+($D$22*P40)+($D$23*Q40))),1-(1+INT(LOG10(ABS((M40*N40*$D$10*1000)/($D$11+(($D$21*O40)+($D$22*P40)+($D$23*Q40))))))))</f>
        <v>6</v>
      </c>
      <c r="W40" s="44">
        <f t="shared" si="3"/>
        <v>7</v>
      </c>
      <c r="X40" s="98"/>
      <c r="Y40" s="17"/>
      <c r="Z40" s="52">
        <v>0.5</v>
      </c>
    </row>
    <row r="41" spans="10:26" ht="16.5" x14ac:dyDescent="0.3">
      <c r="J41" s="16" t="s">
        <v>85</v>
      </c>
      <c r="K41" s="17">
        <v>72435</v>
      </c>
      <c r="L41" s="68">
        <v>1</v>
      </c>
      <c r="M41" s="72">
        <v>2.0000000000000002E-5</v>
      </c>
      <c r="N41" s="72">
        <v>0.8</v>
      </c>
      <c r="O41" s="72">
        <v>1400</v>
      </c>
      <c r="P41" s="72">
        <v>4800</v>
      </c>
      <c r="Q41" s="72">
        <v>4400</v>
      </c>
      <c r="R41" s="73"/>
      <c r="S41" s="62"/>
      <c r="T41" s="95" t="s">
        <v>157</v>
      </c>
      <c r="U41" s="101">
        <f t="shared" si="4"/>
        <v>0.02</v>
      </c>
      <c r="V41" s="24">
        <f t="shared" si="5"/>
        <v>0.03</v>
      </c>
      <c r="W41" s="44">
        <f t="shared" si="3"/>
        <v>0.03</v>
      </c>
      <c r="X41" s="98"/>
      <c r="Y41" s="17"/>
      <c r="Z41" s="52">
        <v>0.3</v>
      </c>
    </row>
    <row r="42" spans="10:26" ht="16.5" x14ac:dyDescent="0.3">
      <c r="J42" s="16" t="s">
        <v>86</v>
      </c>
      <c r="K42" s="17">
        <v>74839</v>
      </c>
      <c r="L42" s="68">
        <v>0</v>
      </c>
      <c r="M42" s="72">
        <v>0.02</v>
      </c>
      <c r="N42" s="72">
        <v>0.2</v>
      </c>
      <c r="O42" s="72">
        <v>1.2</v>
      </c>
      <c r="P42" s="72">
        <v>1.3</v>
      </c>
      <c r="Q42" s="72">
        <v>1.4</v>
      </c>
      <c r="R42" s="73"/>
      <c r="S42" s="62"/>
      <c r="T42" s="96">
        <v>4000</v>
      </c>
      <c r="U42" s="101">
        <f t="shared" si="4"/>
        <v>10000</v>
      </c>
      <c r="V42" s="24">
        <f t="shared" si="5"/>
        <v>20000</v>
      </c>
      <c r="W42" s="44">
        <f t="shared" si="3"/>
        <v>20000</v>
      </c>
      <c r="X42" s="98"/>
      <c r="Y42" s="54"/>
      <c r="Z42" s="53"/>
    </row>
    <row r="43" spans="10:26" ht="16.5" x14ac:dyDescent="0.3">
      <c r="J43" s="16" t="s">
        <v>87</v>
      </c>
      <c r="K43" s="17">
        <v>98953</v>
      </c>
      <c r="L43" s="68">
        <v>3</v>
      </c>
      <c r="M43" s="72">
        <v>2E-3</v>
      </c>
      <c r="N43" s="72">
        <v>0.2</v>
      </c>
      <c r="O43" s="72">
        <v>2.2999999999999998</v>
      </c>
      <c r="P43" s="72">
        <v>2.8</v>
      </c>
      <c r="Q43" s="72">
        <v>3.1</v>
      </c>
      <c r="R43" s="73"/>
      <c r="S43" s="62"/>
      <c r="T43" s="96">
        <v>1900</v>
      </c>
      <c r="U43" s="101">
        <f t="shared" si="4"/>
        <v>600</v>
      </c>
      <c r="V43" s="24">
        <f t="shared" si="5"/>
        <v>900</v>
      </c>
      <c r="W43" s="44">
        <f t="shared" si="3"/>
        <v>900</v>
      </c>
      <c r="X43" s="98"/>
      <c r="Y43" s="54"/>
      <c r="Z43" s="53"/>
    </row>
    <row r="44" spans="10:26" ht="16.5" x14ac:dyDescent="0.3">
      <c r="J44" s="16" t="s">
        <v>88</v>
      </c>
      <c r="K44" s="17">
        <v>608935</v>
      </c>
      <c r="L44" s="68">
        <v>1</v>
      </c>
      <c r="M44" s="72">
        <v>8.0000000000000004E-4</v>
      </c>
      <c r="N44" s="72">
        <v>0.2</v>
      </c>
      <c r="O44" s="72">
        <v>3500</v>
      </c>
      <c r="P44" s="72">
        <v>1500</v>
      </c>
      <c r="Q44" s="72">
        <v>10000</v>
      </c>
      <c r="R44" s="73"/>
      <c r="S44" s="62"/>
      <c r="T44" s="95">
        <v>4.0999999999999996</v>
      </c>
      <c r="U44" s="101">
        <f t="shared" si="4"/>
        <v>0.1</v>
      </c>
      <c r="V44" s="24">
        <f t="shared" si="5"/>
        <v>0.2</v>
      </c>
      <c r="W44" s="44">
        <f t="shared" si="3"/>
        <v>0.2</v>
      </c>
      <c r="X44" s="98"/>
      <c r="Y44" s="17"/>
      <c r="Z44" s="52"/>
    </row>
    <row r="45" spans="10:26" ht="16.5" x14ac:dyDescent="0.3">
      <c r="J45" s="16" t="s">
        <v>89</v>
      </c>
      <c r="K45" s="17">
        <v>108952</v>
      </c>
      <c r="L45" s="68">
        <v>18</v>
      </c>
      <c r="M45" s="72">
        <v>0.6</v>
      </c>
      <c r="N45" s="72">
        <v>0.2</v>
      </c>
      <c r="O45" s="72">
        <v>1.5</v>
      </c>
      <c r="P45" s="72">
        <v>1.7</v>
      </c>
      <c r="Q45" s="72">
        <v>1.9</v>
      </c>
      <c r="R45" s="73"/>
      <c r="S45" s="62"/>
      <c r="T45" s="95" t="s">
        <v>157</v>
      </c>
      <c r="U45" s="101">
        <f t="shared" si="4"/>
        <v>300000</v>
      </c>
      <c r="V45" s="24">
        <f t="shared" si="5"/>
        <v>400000</v>
      </c>
      <c r="W45" s="44">
        <f t="shared" si="3"/>
        <v>400000</v>
      </c>
      <c r="X45" s="98"/>
      <c r="Y45" s="17">
        <v>5293</v>
      </c>
      <c r="Z45" s="52">
        <v>157</v>
      </c>
    </row>
    <row r="46" spans="10:26" ht="16.5" x14ac:dyDescent="0.3">
      <c r="J46" s="16" t="s">
        <v>90</v>
      </c>
      <c r="K46" s="17">
        <v>129000</v>
      </c>
      <c r="L46" s="68">
        <v>2</v>
      </c>
      <c r="M46" s="72">
        <v>0.03</v>
      </c>
      <c r="N46" s="72">
        <v>0.2</v>
      </c>
      <c r="O46" s="72" t="s">
        <v>91</v>
      </c>
      <c r="P46" s="72" t="s">
        <v>91</v>
      </c>
      <c r="Q46" s="72" t="s">
        <v>91</v>
      </c>
      <c r="R46" s="73"/>
      <c r="S46" s="62"/>
      <c r="T46" s="96">
        <v>11000</v>
      </c>
      <c r="U46" s="101">
        <f>ROUND((M46*N46*$D$10*1000)/($D$11+((D12/1000)*860)),1-(1+INT(LOG10(ABS((M46*N46*$D$10*1000)/($D$11+((D12/1000)*860)))))))</f>
        <v>30</v>
      </c>
      <c r="V46" s="24">
        <f>ROUND((M46*N46*$D$10*1000)/($D$11+((D19/1000)*860)),1-(1+INT(LOG10(ABS((M46*N46*$D$10*1000)/($D$11+((D19/1000)*860)))))))</f>
        <v>40</v>
      </c>
      <c r="W46" s="44">
        <f>ROUND((M46*N46*$D$10*1000)/($D$11+((D26/1000)*860)),1-(1+INT(LOG10(ABS((M46*N46*$D$10*1000)/($D$11+((D26/1000)*860)))))))</f>
        <v>40</v>
      </c>
      <c r="X46" s="98"/>
      <c r="Y46" s="54"/>
      <c r="Z46" s="53"/>
    </row>
    <row r="47" spans="10:26" ht="16.5" x14ac:dyDescent="0.3">
      <c r="J47" s="16" t="s">
        <v>92</v>
      </c>
      <c r="K47" s="17">
        <v>108883</v>
      </c>
      <c r="L47" s="68">
        <v>131</v>
      </c>
      <c r="M47" s="72">
        <v>9.7000000000000003E-3</v>
      </c>
      <c r="N47" s="72">
        <v>0.2</v>
      </c>
      <c r="O47" s="72">
        <v>11</v>
      </c>
      <c r="P47" s="72">
        <v>15</v>
      </c>
      <c r="Q47" s="72">
        <v>17</v>
      </c>
      <c r="R47" s="73"/>
      <c r="S47" s="62"/>
      <c r="T47" s="96">
        <v>200000</v>
      </c>
      <c r="U47" s="101">
        <f>ROUND((M47*N47*$D$10*1000)/($D$11+(($D$14*O47)+($D$15*P47)+($D$16*Q47))),1-(1+INT(LOG10(ABS((M47*N47*$D$10*1000)/($D$11+(($D$14*O47)+($D$15*P47)+($D$16*Q47))))))))</f>
        <v>500</v>
      </c>
      <c r="V47" s="24">
        <f>ROUND((M47*N47*$D$10*1000)/($D$11+(($D$21*O47)+($D$22*P47)+($D$23*Q47))),1-(1+INT(LOG10(ABS((M47*N47*$D$10*1000)/($D$11+(($D$21*O47)+($D$22*P47)+($D$23*Q47))))))))</f>
        <v>800</v>
      </c>
      <c r="W47" s="44">
        <f>ROUND((M47*N47*$D$10*1000)/($D$11+(($D$28*O47)+($D$29*P47)+($D$30*Q47))),1-(1+INT(LOG10(ABS((M47*N47*$D$10*1000)/($D$11+(($D$28*O47)+($D$29*P47)+($D$30*Q47))))))))</f>
        <v>800</v>
      </c>
      <c r="X47" s="98"/>
      <c r="Y47" s="54"/>
      <c r="Z47" s="53"/>
    </row>
    <row r="48" spans="10:26" ht="16.5" x14ac:dyDescent="0.3">
      <c r="J48" s="16" t="s">
        <v>93</v>
      </c>
      <c r="K48" s="17">
        <v>156605</v>
      </c>
      <c r="L48" s="68">
        <v>16</v>
      </c>
      <c r="M48" s="72">
        <v>0.02</v>
      </c>
      <c r="N48" s="72">
        <v>0.2</v>
      </c>
      <c r="O48" s="72">
        <v>3.3</v>
      </c>
      <c r="P48" s="72">
        <v>4.2</v>
      </c>
      <c r="Q48" s="72">
        <v>4.7</v>
      </c>
      <c r="R48" s="73"/>
      <c r="S48" s="62"/>
      <c r="T48" s="96">
        <v>140000</v>
      </c>
      <c r="U48" s="101">
        <f>ROUND((M48*N48*$D$10*1000)/($D$11+(($D$14*O48)+($D$15*P48)+($D$16*Q48))),1-(1+INT(LOG10(ABS((M48*N48*$D$10*1000)/($D$11+(($D$14*O48)+($D$15*P48)+($D$16*Q48))))))))</f>
        <v>4000</v>
      </c>
      <c r="V48" s="24">
        <f>ROUND((M48*N48*$D$10*1000)/($D$11+(($D$21*O48)+($D$22*P48)+($D$23*Q48))),1-(1+INT(LOG10(ABS((M48*N48*$D$10*1000)/($D$11+(($D$21*O48)+($D$22*P48)+($D$23*Q48))))))))</f>
        <v>6000</v>
      </c>
      <c r="W48" s="44">
        <f>ROUND((M48*N48*$D$10*1000)/($D$11+(($D$28*O48)+($D$29*P48)+($D$30*Q48))),1-(1+INT(LOG10(ABS((M48*N48*$D$10*1000)/($D$11+(($D$28*O48)+($D$29*P48)+($D$30*Q48))))))))</f>
        <v>6000</v>
      </c>
      <c r="X48" s="98"/>
      <c r="Y48" s="54"/>
      <c r="Z48" s="53"/>
    </row>
    <row r="49" spans="10:26" ht="17.25" thickBot="1" x14ac:dyDescent="0.35">
      <c r="J49" s="19" t="s">
        <v>94</v>
      </c>
      <c r="K49" s="20">
        <v>67663</v>
      </c>
      <c r="L49" s="29">
        <v>9</v>
      </c>
      <c r="M49" s="75">
        <v>0.01</v>
      </c>
      <c r="N49" s="75">
        <v>0.2</v>
      </c>
      <c r="O49" s="75">
        <v>2.8</v>
      </c>
      <c r="P49" s="75">
        <v>3.4</v>
      </c>
      <c r="Q49" s="75">
        <v>3.8</v>
      </c>
      <c r="R49" s="76"/>
      <c r="S49" s="63"/>
      <c r="T49" s="97">
        <v>470</v>
      </c>
      <c r="U49" s="102">
        <f>ROUND((M49*N49*$D$10*1000)/($D$11+(($D$14*O49)+($D$15*P49)+($D$16*Q49))),1-(1+INT(LOG10(ABS((M49*N49*$D$10*1000)/($D$11+(($D$14*O49)+($D$15*P49)+($D$16*Q49))))))))</f>
        <v>2000</v>
      </c>
      <c r="V49" s="25">
        <f>ROUND((M49*N49*$D$10*1000)/($D$11+(($D$21*O49)+($D$22*P49)+($D$23*Q49))),1-(1+INT(LOG10(ABS((M49*N49*$D$10*1000)/($D$11+(($D$21*O49)+($D$22*P49)+($D$23*Q49))))))))</f>
        <v>4000</v>
      </c>
      <c r="W49" s="45">
        <f>ROUND((M49*N49*$D$10*1000)/($D$11+(($D$28*O49)+($D$29*P49)+($D$30*Q49))),1-(1+INT(LOG10(ABS((M49*N49*$D$10*1000)/($D$11+(($D$28*O49)+($D$29*P49)+($D$30*Q49))))))))</f>
        <v>4000</v>
      </c>
      <c r="X49" s="99"/>
      <c r="Y49" s="20"/>
      <c r="Z49" s="55"/>
    </row>
    <row r="50" spans="10:26" ht="15.75" thickBot="1" x14ac:dyDescent="0.3"/>
    <row r="51" spans="10:26" ht="15.75" thickBot="1" x14ac:dyDescent="0.3">
      <c r="J51" s="26"/>
      <c r="T51" s="105" t="s">
        <v>164</v>
      </c>
    </row>
    <row r="52" spans="10:26" x14ac:dyDescent="0.25">
      <c r="J52" s="26"/>
      <c r="T52" s="103"/>
      <c r="U52" s="132" t="s">
        <v>165</v>
      </c>
      <c r="V52" s="133"/>
      <c r="W52" s="134"/>
      <c r="X52" s="106"/>
      <c r="Y52" s="106"/>
    </row>
    <row r="53" spans="10:26" x14ac:dyDescent="0.25">
      <c r="J53" s="26"/>
      <c r="T53" s="101"/>
      <c r="U53" s="129" t="s">
        <v>167</v>
      </c>
      <c r="V53" s="130"/>
      <c r="W53" s="131"/>
      <c r="X53" s="106"/>
      <c r="Y53" s="106"/>
    </row>
    <row r="54" spans="10:26" ht="15.75" thickBot="1" x14ac:dyDescent="0.3">
      <c r="T54" s="104"/>
      <c r="U54" s="126" t="s">
        <v>166</v>
      </c>
      <c r="V54" s="127"/>
      <c r="W54" s="128"/>
      <c r="X54" s="106"/>
      <c r="Y54" s="106"/>
    </row>
  </sheetData>
  <mergeCells count="22">
    <mergeCell ref="U54:W54"/>
    <mergeCell ref="U53:W53"/>
    <mergeCell ref="U52:W52"/>
    <mergeCell ref="D30:E30"/>
    <mergeCell ref="B18:E18"/>
    <mergeCell ref="B25:E25"/>
    <mergeCell ref="D22:E22"/>
    <mergeCell ref="D23:E23"/>
    <mergeCell ref="D26:E26"/>
    <mergeCell ref="D19:E19"/>
    <mergeCell ref="D21:E21"/>
    <mergeCell ref="D29:E29"/>
    <mergeCell ref="U2:W3"/>
    <mergeCell ref="D14:E14"/>
    <mergeCell ref="D15:E15"/>
    <mergeCell ref="B9:C9"/>
    <mergeCell ref="D28:E28"/>
    <mergeCell ref="D16:E16"/>
    <mergeCell ref="D12:E12"/>
    <mergeCell ref="D10:E10"/>
    <mergeCell ref="D9:E9"/>
    <mergeCell ref="D11:E11"/>
  </mergeCells>
  <conditionalFormatting sqref="U5:U49">
    <cfRule type="expression" dxfId="29" priority="5">
      <formula>U5&gt;T5</formula>
    </cfRule>
    <cfRule type="expression" dxfId="28" priority="6">
      <formula>U5&lt;T5</formula>
    </cfRule>
  </conditionalFormatting>
  <conditionalFormatting sqref="V5:V49">
    <cfRule type="expression" dxfId="27" priority="3">
      <formula>V5&gt;T5</formula>
    </cfRule>
    <cfRule type="expression" dxfId="26" priority="4">
      <formula>V5&lt;T5</formula>
    </cfRule>
  </conditionalFormatting>
  <conditionalFormatting sqref="W5:W49">
    <cfRule type="expression" dxfId="25" priority="2">
      <formula>W5&lt;T5</formula>
    </cfRule>
  </conditionalFormatting>
  <conditionalFormatting sqref="W6:W49">
    <cfRule type="expression" dxfId="24" priority="1">
      <formula>W6&gt;T6</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BC18A-AC9C-4BA1-8481-CFA25EF2CC18}">
  <dimension ref="B1:X58"/>
  <sheetViews>
    <sheetView tabSelected="1" topLeftCell="A51" zoomScale="80" zoomScaleNormal="80" workbookViewId="0">
      <selection activeCell="H64" sqref="H64"/>
    </sheetView>
  </sheetViews>
  <sheetFormatPr defaultRowHeight="15" x14ac:dyDescent="0.25"/>
  <cols>
    <col min="2" max="2" width="4.42578125" bestFit="1" customWidth="1"/>
    <col min="3" max="3" width="28" bestFit="1" customWidth="1"/>
    <col min="4" max="4" width="11" bestFit="1" customWidth="1"/>
    <col min="5" max="5" width="8.7109375" bestFit="1" customWidth="1"/>
    <col min="10" max="10" width="45" bestFit="1" customWidth="1"/>
    <col min="12" max="12" width="9.5703125" bestFit="1" customWidth="1"/>
    <col min="13" max="13" width="9.7109375" customWidth="1"/>
    <col min="14" max="14" width="7" bestFit="1" customWidth="1"/>
    <col min="15" max="16" width="8" bestFit="1" customWidth="1"/>
    <col min="17" max="17" width="2" customWidth="1"/>
    <col min="18" max="18" width="12" bestFit="1" customWidth="1"/>
    <col min="19" max="19" width="11" style="30" bestFit="1" customWidth="1"/>
    <col min="20" max="20" width="11.7109375" style="30" bestFit="1" customWidth="1"/>
    <col min="21" max="21" width="11.7109375" customWidth="1"/>
    <col min="22" max="22" width="2" customWidth="1"/>
  </cols>
  <sheetData>
    <row r="1" spans="2:24" ht="15.75" thickBot="1" x14ac:dyDescent="0.3"/>
    <row r="2" spans="2:24" ht="30.6" customHeight="1" thickBot="1" x14ac:dyDescent="0.3">
      <c r="S2" s="155" t="s">
        <v>162</v>
      </c>
      <c r="T2" s="156"/>
      <c r="U2" s="157"/>
      <c r="V2" s="85"/>
    </row>
    <row r="3" spans="2:24" ht="60.75" thickBot="1" x14ac:dyDescent="0.3">
      <c r="J3" s="40" t="s">
        <v>29</v>
      </c>
      <c r="K3" s="41" t="s">
        <v>30</v>
      </c>
      <c r="L3" s="42" t="s">
        <v>161</v>
      </c>
      <c r="M3" s="70" t="s">
        <v>31</v>
      </c>
      <c r="N3" s="70" t="s">
        <v>33</v>
      </c>
      <c r="O3" s="70" t="s">
        <v>34</v>
      </c>
      <c r="P3" s="70" t="s">
        <v>35</v>
      </c>
      <c r="Q3" s="61"/>
      <c r="R3" s="91" t="s">
        <v>154</v>
      </c>
      <c r="S3" s="93" t="s">
        <v>150</v>
      </c>
      <c r="T3" s="43" t="s">
        <v>151</v>
      </c>
      <c r="U3" s="94" t="s">
        <v>152</v>
      </c>
      <c r="V3" s="92"/>
      <c r="W3" s="42" t="s">
        <v>155</v>
      </c>
      <c r="X3" s="67" t="s">
        <v>156</v>
      </c>
    </row>
    <row r="4" spans="2:24" ht="16.5" x14ac:dyDescent="0.3">
      <c r="J4" s="38" t="s">
        <v>99</v>
      </c>
      <c r="K4" s="58">
        <v>79345</v>
      </c>
      <c r="L4" s="58">
        <v>1</v>
      </c>
      <c r="M4" s="71">
        <v>0.2</v>
      </c>
      <c r="N4" s="71">
        <v>5.7</v>
      </c>
      <c r="O4" s="71">
        <v>7.4</v>
      </c>
      <c r="P4" s="71">
        <v>8.4</v>
      </c>
      <c r="Q4" s="64"/>
      <c r="R4" s="46">
        <v>11</v>
      </c>
      <c r="S4" s="65">
        <f>ROUND(($D$12/M4)*1000*($D$9/($D$10+($D$15*N4)+($D$16*O4)+($D$17*P4))),1-(1+INT(LOG10(ABS(($D$12/M4)*1000*($D$9/($D$10+($D$15*N4)+($D$16*O4)+($D$17*P4))))))))</f>
        <v>3</v>
      </c>
      <c r="T4" s="65">
        <f>ROUND(($D$12/M4)*1000*($D$9/($D$10+($D$22*N4)+($D$23*O4)+($D$24*P4))),1-(1+INT(LOG10(ABS(($D$12/M4)*1000*($D$9/($D$10+($D$22*N4)+($D$23*O4)+($D$24*P4))))))))</f>
        <v>4</v>
      </c>
      <c r="U4" s="65">
        <f>ROUND(($D$12/M4)*1000*($D$9/($D$10+($D$29*N4)+($D$30*O4)+($D$31*P4))),1-(1+INT(LOG10(ABS(($D$12/M4)*1000*($D$9/($D$10+($D$29*N4)+($D$30*O4)+($D$31*P4))))))))</f>
        <v>4</v>
      </c>
      <c r="V4" s="86"/>
      <c r="W4" s="46"/>
      <c r="X4" s="66"/>
    </row>
    <row r="5" spans="2:24" ht="16.5" x14ac:dyDescent="0.3">
      <c r="J5" s="16" t="s">
        <v>100</v>
      </c>
      <c r="K5" s="33">
        <v>79005</v>
      </c>
      <c r="L5" s="33">
        <v>3</v>
      </c>
      <c r="M5" s="72">
        <v>5.7000000000000002E-2</v>
      </c>
      <c r="N5" s="72">
        <v>6</v>
      </c>
      <c r="O5" s="72">
        <v>7.8</v>
      </c>
      <c r="P5" s="72">
        <v>8.9</v>
      </c>
      <c r="Q5" s="59"/>
      <c r="R5" s="18">
        <v>42</v>
      </c>
      <c r="S5" s="34">
        <f>ROUND(($D$12/M5)*1000*($D$9/($D$10+($D$15*N5)+($D$16*O5)+($D$17*P5))),2-(1+INT(LOG10(ABS(($D$12/M5)*1000*($D$9/($D$10+($D$15*N5)+($D$16*O5)+($D$17*P5))))))))</f>
        <v>8.9</v>
      </c>
      <c r="T5" s="34">
        <f>ROUND(($D$12/M5)*1000*($D$9/($D$10+($D$22*N5)+($D$23*O5)+($D$24*P5))),2-(1+INT(LOG10(ABS(($D$12/M5)*1000*($D$9/($D$10+($D$22*N5)+($D$23*O5)+($D$24*P5))))))))</f>
        <v>14</v>
      </c>
      <c r="U5" s="34">
        <f>ROUND(($D$12/M5)*1000*($D$9/($D$10+($D$29*N5)+($D$30*O5)+($D$31*P5))),2-(1+INT(LOG10(ABS(($D$12/M5)*1000*($D$9/($D$10+($D$29*N5)+($D$30*O5)+($D$31*P5))))))))</f>
        <v>14</v>
      </c>
      <c r="V5" s="87"/>
      <c r="W5" s="18"/>
      <c r="X5" s="56"/>
    </row>
    <row r="6" spans="2:24" ht="16.5" x14ac:dyDescent="0.3">
      <c r="J6" s="16" t="s">
        <v>101</v>
      </c>
      <c r="K6" s="33">
        <v>120821</v>
      </c>
      <c r="L6" s="33">
        <v>3</v>
      </c>
      <c r="M6" s="72">
        <v>2.9000000000000001E-2</v>
      </c>
      <c r="N6" s="72">
        <v>2800</v>
      </c>
      <c r="O6" s="72">
        <v>1500</v>
      </c>
      <c r="P6" s="72">
        <v>430</v>
      </c>
      <c r="Q6" s="59"/>
      <c r="R6" s="18">
        <v>940</v>
      </c>
      <c r="S6" s="34">
        <f>ROUND(($D$12/M6)*1000*($D$9/($D$10+($D$15*N6)+($D$16*O6)+($D$17*P6))),2-(1+INT(LOG10(ABS(($D$12/M6)*1000*($D$9/($D$10+($D$15*N6)+($D$16*O6)+($D$17*P6))))))))</f>
        <v>7.5999999999999998E-2</v>
      </c>
      <c r="T6" s="34">
        <f>ROUND(($D$12/M6)*1000*($D$9/($D$10+($D$22*N6)+($D$23*O6)+($D$24*P6))),2-(1+INT(LOG10(ABS(($D$12/M6)*1000*($D$9/($D$10+($D$22*N6)+($D$23*O6)+($D$24*P6))))))))</f>
        <v>0.14000000000000001</v>
      </c>
      <c r="U6" s="34">
        <f>ROUND(($D$12/M6)*1000*($D$9/($D$10+($D$29*N6)+($D$30*O6)+($D$31*P6))),2-(1+INT(LOG10(ABS(($D$12/M6)*1000*($D$9/($D$10+($D$29*N6)+($D$30*O6)+($D$31*P6))))))))</f>
        <v>0.15</v>
      </c>
      <c r="V6" s="87"/>
      <c r="W6" s="18"/>
      <c r="X6" s="56"/>
    </row>
    <row r="7" spans="2:24" ht="17.25" thickBot="1" x14ac:dyDescent="0.35">
      <c r="J7" s="16" t="s">
        <v>102</v>
      </c>
      <c r="K7" s="33">
        <v>107062</v>
      </c>
      <c r="L7" s="33">
        <v>5</v>
      </c>
      <c r="M7" s="72">
        <v>3.3E-3</v>
      </c>
      <c r="N7" s="72">
        <v>1.6</v>
      </c>
      <c r="O7" s="72">
        <v>1.8</v>
      </c>
      <c r="P7" s="72">
        <v>1.9</v>
      </c>
      <c r="Q7" s="59"/>
      <c r="R7" s="18">
        <v>99</v>
      </c>
      <c r="S7" s="34">
        <f>ROUND(($D$12/M7)*1000*($D$9/($D$10+($D$15*N7)+($D$16*O7)+($D$17*P7))),2-(1+INT(LOG10(ABS(($D$12/M7)*1000*($D$9/($D$10+($D$15*N7)+($D$16*O7)+($D$17*P7))))))))</f>
        <v>650</v>
      </c>
      <c r="T7" s="34">
        <f>ROUND(($D$12/M7)*1000*($D$9/($D$10+($D$22*N7)+($D$23*O7)+($D$24*P7))),2-(1+INT(LOG10(ABS(($D$12/M7)*1000*($D$9/($D$10+($D$22*N7)+($D$23*O7)+($D$24*P7))))))))</f>
        <v>1000</v>
      </c>
      <c r="U7" s="34">
        <f>ROUND(($D$12/M7)*1000*($D$9/($D$10+($D$29*N7)+($D$30*O7)+($D$31*P7))),2-(1+INT(LOG10(ABS(($D$12/M7)*1000*($D$9/($D$10+($D$29*N7)+($D$30*O7)+($D$31*P7))))))))</f>
        <v>1100</v>
      </c>
      <c r="V7" s="87"/>
      <c r="W7" s="18"/>
      <c r="X7" s="56"/>
    </row>
    <row r="8" spans="2:24" ht="17.25" thickBot="1" x14ac:dyDescent="0.35">
      <c r="B8" s="147" t="s">
        <v>18</v>
      </c>
      <c r="C8" s="148"/>
      <c r="D8" s="145" t="s">
        <v>153</v>
      </c>
      <c r="E8" s="146"/>
      <c r="J8" s="16" t="s">
        <v>103</v>
      </c>
      <c r="K8" s="33">
        <v>78875</v>
      </c>
      <c r="L8" s="33">
        <v>4</v>
      </c>
      <c r="M8" s="72">
        <v>3.5999999999999997E-2</v>
      </c>
      <c r="N8" s="72">
        <v>2.9</v>
      </c>
      <c r="O8" s="72">
        <v>3.5</v>
      </c>
      <c r="P8" s="72">
        <v>3.9</v>
      </c>
      <c r="Q8" s="59"/>
      <c r="R8" s="18">
        <v>39</v>
      </c>
      <c r="S8" s="34">
        <f>ROUND(($D$12/M8)*1000*($D$9/($D$10+($D$15*N8)+($D$16*O8)+($D$17*P8))),2-(1+INT(LOG10(ABS(($D$12/M8)*1000*($D$9/($D$10+($D$15*N8)+($D$16*O8)+($D$17*P8))))))))</f>
        <v>31</v>
      </c>
      <c r="T8" s="34">
        <f>ROUND(($D$12/M8)*1000*($D$9/($D$10+($D$22*N8)+($D$23*O8)+($D$24*P8))),2-(1+INT(LOG10(ABS(($D$12/M8)*1000*($D$9/($D$10+($D$22*N8)+($D$23*O8)+($D$24*P8))))))))</f>
        <v>48</v>
      </c>
      <c r="U8" s="34">
        <f>ROUND(($D$12/M8)*1000*($D$9/($D$10+($D$29*N8)+($D$30*O8)+($D$31*P8))),2-(1+INT(LOG10(ABS(($D$12/M8)*1000*($D$9/($D$10+($D$29*N8)+($D$30*O8)+($D$31*P8))))))))</f>
        <v>51</v>
      </c>
      <c r="V8" s="87"/>
      <c r="W8" s="18"/>
      <c r="X8" s="56"/>
    </row>
    <row r="9" spans="2:24" ht="16.5" x14ac:dyDescent="0.3">
      <c r="B9" s="50" t="s">
        <v>6</v>
      </c>
      <c r="C9" s="39" t="s">
        <v>19</v>
      </c>
      <c r="D9" s="140">
        <v>80</v>
      </c>
      <c r="E9" s="141"/>
      <c r="J9" s="16" t="s">
        <v>104</v>
      </c>
      <c r="K9" s="33">
        <v>122667</v>
      </c>
      <c r="L9" s="33">
        <v>2</v>
      </c>
      <c r="M9" s="72">
        <v>0.8</v>
      </c>
      <c r="N9" s="72">
        <v>18</v>
      </c>
      <c r="O9" s="72">
        <v>24</v>
      </c>
      <c r="P9" s="72">
        <v>27</v>
      </c>
      <c r="Q9" s="59"/>
      <c r="R9" s="18">
        <v>0.54</v>
      </c>
      <c r="S9" s="34">
        <f>ROUND(($D$12/M9)*1000*($D$9/($D$10+($D$15*N9)+($D$16*O9)+($D$17*P9))),1-(1+INT(LOG10(ABS(($D$12/M9)*1000*($D$9/($D$10+($D$15*N9)+($D$16*O9)+($D$17*P9))))))))</f>
        <v>0.2</v>
      </c>
      <c r="T9" s="34">
        <f>ROUND(($D$12/M9)*1000*($D$9/($D$10+($D$22*N9)+($D$23*O9)+($D$24*P9))),1-(1+INT(LOG10(ABS(($D$12/M9)*1000*($D$9/($D$10+($D$22*N9)+($D$23*O9)+($D$24*P9))))))))</f>
        <v>0.3</v>
      </c>
      <c r="U9" s="34">
        <f>ROUND(($D$12/M9)*1000*($D$9/($D$10+($D$29*N9)+($D$30*O9)+($D$31*P9))),1-(1+INT(LOG10(ABS(($D$12/M9)*1000*($D$9/($D$10+($D$29*N9)+($D$30*O9)+($D$31*P9))))))))</f>
        <v>0.3</v>
      </c>
      <c r="V9" s="87"/>
      <c r="W9" s="18"/>
      <c r="X9" s="56"/>
    </row>
    <row r="10" spans="2:24" ht="16.5" x14ac:dyDescent="0.3">
      <c r="B10" s="4" t="s">
        <v>8</v>
      </c>
      <c r="C10" s="11" t="s">
        <v>20</v>
      </c>
      <c r="D10" s="122">
        <v>0</v>
      </c>
      <c r="E10" s="123"/>
      <c r="J10" s="16" t="s">
        <v>105</v>
      </c>
      <c r="K10" s="33">
        <v>542756</v>
      </c>
      <c r="L10" s="33">
        <v>1</v>
      </c>
      <c r="M10" s="72">
        <v>0.122</v>
      </c>
      <c r="N10" s="72">
        <v>2.2999999999999998</v>
      </c>
      <c r="O10" s="72">
        <v>2.7</v>
      </c>
      <c r="P10" s="72">
        <v>3</v>
      </c>
      <c r="Q10" s="59"/>
      <c r="R10" s="18">
        <v>1700</v>
      </c>
      <c r="S10" s="34">
        <f t="shared" ref="S10:S20" si="0">ROUND(($D$12/M10)*1000*($D$9/($D$10+($D$15*N10)+($D$16*O10)+($D$17*P10))),2-(1+INT(LOG10(ABS(($D$12/M10)*1000*($D$9/($D$10+($D$15*N10)+($D$16*O10)+($D$17*P10))))))))</f>
        <v>12</v>
      </c>
      <c r="T10" s="34">
        <f t="shared" ref="T10:T20" si="1">ROUND(($D$12/M10)*1000*($D$9/($D$10+($D$22*N10)+($D$23*O10)+($D$24*P10))),2-(1+INT(LOG10(ABS(($D$12/M10)*1000*($D$9/($D$10+($D$22*N10)+($D$23*O10)+($D$24*P10))))))))</f>
        <v>18</v>
      </c>
      <c r="U10" s="34">
        <f t="shared" ref="U10:U20" si="2">ROUND(($D$12/M10)*1000*($D$9/($D$10+($D$29*N10)+($D$30*O10)+($D$31*P10))),2-(1+INT(LOG10(ABS(($D$12/M10)*1000*($D$9/($D$10+($D$29*N10)+($D$30*O10)+($D$31*P10))))))))</f>
        <v>19</v>
      </c>
      <c r="V10" s="87"/>
      <c r="W10" s="18"/>
      <c r="X10" s="56"/>
    </row>
    <row r="11" spans="2:24" ht="16.5" x14ac:dyDescent="0.3">
      <c r="B11" s="4" t="s">
        <v>15</v>
      </c>
      <c r="C11" s="11" t="s">
        <v>96</v>
      </c>
      <c r="D11" s="122" t="s">
        <v>97</v>
      </c>
      <c r="E11" s="123"/>
      <c r="J11" s="16" t="s">
        <v>106</v>
      </c>
      <c r="K11" s="33">
        <v>88062</v>
      </c>
      <c r="L11" s="33">
        <v>4</v>
      </c>
      <c r="M11" s="72">
        <v>1.0999999999999999E-2</v>
      </c>
      <c r="N11" s="72">
        <v>94</v>
      </c>
      <c r="O11" s="72">
        <v>130</v>
      </c>
      <c r="P11" s="72">
        <v>150</v>
      </c>
      <c r="Q11" s="59"/>
      <c r="R11" s="18">
        <v>6.5</v>
      </c>
      <c r="S11" s="34">
        <f t="shared" si="0"/>
        <v>2.8</v>
      </c>
      <c r="T11" s="34">
        <f t="shared" si="1"/>
        <v>4.3</v>
      </c>
      <c r="U11" s="34">
        <f t="shared" si="2"/>
        <v>4.5</v>
      </c>
      <c r="V11" s="87"/>
      <c r="W11" s="18"/>
      <c r="X11" s="56"/>
    </row>
    <row r="12" spans="2:24" ht="16.5" x14ac:dyDescent="0.3">
      <c r="B12" s="4" t="s">
        <v>21</v>
      </c>
      <c r="C12" s="11" t="s">
        <v>22</v>
      </c>
      <c r="D12" s="122">
        <v>9.9999999999999995E-7</v>
      </c>
      <c r="E12" s="123"/>
      <c r="J12" s="16" t="s">
        <v>107</v>
      </c>
      <c r="K12" s="33">
        <v>121142</v>
      </c>
      <c r="L12" s="33">
        <v>4</v>
      </c>
      <c r="M12" s="72">
        <v>0.66700000000000004</v>
      </c>
      <c r="N12" s="72">
        <v>2.8</v>
      </c>
      <c r="O12" s="72">
        <v>3.5</v>
      </c>
      <c r="P12" s="72">
        <v>3.9</v>
      </c>
      <c r="Q12" s="59"/>
      <c r="R12" s="18">
        <v>9</v>
      </c>
      <c r="S12" s="34">
        <f t="shared" si="0"/>
        <v>1.7</v>
      </c>
      <c r="T12" s="34">
        <f t="shared" si="1"/>
        <v>2.6</v>
      </c>
      <c r="U12" s="34">
        <f t="shared" si="2"/>
        <v>2.7</v>
      </c>
      <c r="V12" s="87"/>
      <c r="W12" s="18"/>
      <c r="X12" s="56"/>
    </row>
    <row r="13" spans="2:24" ht="17.25" thickBot="1" x14ac:dyDescent="0.35">
      <c r="B13" s="6" t="s">
        <v>10</v>
      </c>
      <c r="C13" s="21" t="s">
        <v>23</v>
      </c>
      <c r="D13" s="138">
        <v>22</v>
      </c>
      <c r="E13" s="139"/>
      <c r="J13" s="16" t="s">
        <v>108</v>
      </c>
      <c r="K13" s="33">
        <v>91941</v>
      </c>
      <c r="L13" s="33">
        <v>2</v>
      </c>
      <c r="M13" s="72">
        <v>0.45</v>
      </c>
      <c r="N13" s="72">
        <v>44</v>
      </c>
      <c r="O13" s="72">
        <v>60</v>
      </c>
      <c r="P13" s="72">
        <v>69</v>
      </c>
      <c r="Q13" s="59"/>
      <c r="R13" s="18">
        <v>0.08</v>
      </c>
      <c r="S13" s="34">
        <f t="shared" si="0"/>
        <v>0.15</v>
      </c>
      <c r="T13" s="34">
        <f t="shared" si="1"/>
        <v>0.23</v>
      </c>
      <c r="U13" s="34">
        <f t="shared" si="2"/>
        <v>0.24</v>
      </c>
      <c r="V13" s="87"/>
      <c r="W13" s="18"/>
      <c r="X13" s="56"/>
    </row>
    <row r="14" spans="2:24" ht="16.5" x14ac:dyDescent="0.3">
      <c r="B14" s="1"/>
      <c r="C14" s="2" t="s">
        <v>98</v>
      </c>
      <c r="D14" s="27"/>
      <c r="E14" s="28"/>
      <c r="J14" s="16" t="s">
        <v>109</v>
      </c>
      <c r="K14" s="33">
        <v>72548</v>
      </c>
      <c r="L14" s="33">
        <v>0</v>
      </c>
      <c r="M14" s="72">
        <v>0.24</v>
      </c>
      <c r="N14" s="72">
        <v>33000</v>
      </c>
      <c r="O14" s="72">
        <v>140000</v>
      </c>
      <c r="P14" s="72">
        <v>240000</v>
      </c>
      <c r="Q14" s="59"/>
      <c r="R14" s="18">
        <v>8.4000000000000003E-4</v>
      </c>
      <c r="S14" s="34">
        <f t="shared" si="0"/>
        <v>1.2E-4</v>
      </c>
      <c r="T14" s="34">
        <f t="shared" si="1"/>
        <v>1.7000000000000001E-4</v>
      </c>
      <c r="U14" s="34">
        <f t="shared" si="2"/>
        <v>1.8000000000000001E-4</v>
      </c>
      <c r="V14" s="87"/>
      <c r="W14" s="18"/>
      <c r="X14" s="56"/>
    </row>
    <row r="15" spans="2:24" ht="16.5" x14ac:dyDescent="0.3">
      <c r="B15" s="1"/>
      <c r="C15" s="4" t="s">
        <v>24</v>
      </c>
      <c r="D15" s="122">
        <v>7.6E-3</v>
      </c>
      <c r="E15" s="123"/>
      <c r="J15" s="16" t="s">
        <v>110</v>
      </c>
      <c r="K15" s="33">
        <v>72559</v>
      </c>
      <c r="L15" s="33">
        <v>0</v>
      </c>
      <c r="M15" s="72">
        <v>0.16700000000000001</v>
      </c>
      <c r="N15" s="72">
        <v>270000</v>
      </c>
      <c r="O15" s="72">
        <v>1100000</v>
      </c>
      <c r="P15" s="72">
        <v>3100000</v>
      </c>
      <c r="Q15" s="59"/>
      <c r="R15" s="18">
        <v>5.9000000000000003E-4</v>
      </c>
      <c r="S15" s="34">
        <f t="shared" si="0"/>
        <v>1.8E-5</v>
      </c>
      <c r="T15" s="34">
        <f t="shared" si="1"/>
        <v>2.3E-5</v>
      </c>
      <c r="U15" s="34">
        <f t="shared" si="2"/>
        <v>2.3E-5</v>
      </c>
      <c r="V15" s="87"/>
      <c r="W15" s="18"/>
      <c r="X15" s="56"/>
    </row>
    <row r="16" spans="2:24" ht="16.5" x14ac:dyDescent="0.3">
      <c r="B16" s="1"/>
      <c r="C16" s="4" t="s">
        <v>25</v>
      </c>
      <c r="D16" s="122">
        <v>8.6E-3</v>
      </c>
      <c r="E16" s="123"/>
      <c r="J16" s="16" t="s">
        <v>111</v>
      </c>
      <c r="K16" s="33">
        <v>50293</v>
      </c>
      <c r="L16" s="33">
        <v>0</v>
      </c>
      <c r="M16" s="72">
        <v>0.34</v>
      </c>
      <c r="N16" s="72">
        <v>35000</v>
      </c>
      <c r="O16" s="72">
        <v>240000</v>
      </c>
      <c r="P16" s="72">
        <v>1100000</v>
      </c>
      <c r="Q16" s="59"/>
      <c r="R16" s="18">
        <v>5.9000000000000003E-4</v>
      </c>
      <c r="S16" s="34">
        <f t="shared" si="0"/>
        <v>3.0000000000000001E-5</v>
      </c>
      <c r="T16" s="34">
        <f t="shared" si="1"/>
        <v>3.6000000000000001E-5</v>
      </c>
      <c r="U16" s="34">
        <f t="shared" si="2"/>
        <v>3.4999999999999997E-5</v>
      </c>
      <c r="V16" s="87"/>
      <c r="W16" s="18">
        <v>1.1000000000000001</v>
      </c>
      <c r="X16" s="56">
        <v>1E-3</v>
      </c>
    </row>
    <row r="17" spans="2:24" ht="17.25" thickBot="1" x14ac:dyDescent="0.35">
      <c r="B17" s="1"/>
      <c r="C17" s="6" t="s">
        <v>26</v>
      </c>
      <c r="D17" s="138">
        <v>5.1000000000000004E-3</v>
      </c>
      <c r="E17" s="139"/>
      <c r="J17" s="16" t="s">
        <v>112</v>
      </c>
      <c r="K17" s="33">
        <v>107131</v>
      </c>
      <c r="L17" s="33">
        <v>4</v>
      </c>
      <c r="M17" s="72">
        <v>0.54</v>
      </c>
      <c r="N17" s="72">
        <v>1</v>
      </c>
      <c r="O17" s="72">
        <v>1</v>
      </c>
      <c r="P17" s="72">
        <v>1</v>
      </c>
      <c r="Q17" s="59"/>
      <c r="R17" s="18">
        <v>0.65</v>
      </c>
      <c r="S17" s="35">
        <f t="shared" si="0"/>
        <v>7</v>
      </c>
      <c r="T17" s="34">
        <f t="shared" si="1"/>
        <v>11</v>
      </c>
      <c r="U17" s="34">
        <f t="shared" si="2"/>
        <v>12</v>
      </c>
      <c r="V17" s="87"/>
      <c r="W17" s="18"/>
      <c r="X17" s="56"/>
    </row>
    <row r="18" spans="2:24" ht="17.25" thickBot="1" x14ac:dyDescent="0.35">
      <c r="J18" s="16" t="s">
        <v>113</v>
      </c>
      <c r="K18" s="33">
        <v>309002</v>
      </c>
      <c r="L18" s="33">
        <v>2</v>
      </c>
      <c r="M18" s="72">
        <v>17</v>
      </c>
      <c r="N18" s="72">
        <v>18000</v>
      </c>
      <c r="O18" s="72">
        <v>310000</v>
      </c>
      <c r="P18" s="72">
        <v>650000</v>
      </c>
      <c r="Q18" s="59"/>
      <c r="R18" s="18">
        <v>7.8999999999999996E-5</v>
      </c>
      <c r="S18" s="34">
        <f t="shared" si="0"/>
        <v>7.7000000000000004E-7</v>
      </c>
      <c r="T18" s="34">
        <f t="shared" si="1"/>
        <v>9.9999999999999995E-7</v>
      </c>
      <c r="U18" s="34">
        <f t="shared" si="2"/>
        <v>9.9999999999999995E-7</v>
      </c>
      <c r="V18" s="87"/>
      <c r="W18" s="18">
        <v>3</v>
      </c>
      <c r="X18" s="56"/>
    </row>
    <row r="19" spans="2:24" ht="16.5" x14ac:dyDescent="0.3">
      <c r="B19" s="116" t="s">
        <v>27</v>
      </c>
      <c r="C19" s="135"/>
      <c r="D19" s="135"/>
      <c r="E19" s="125"/>
      <c r="J19" s="16" t="s">
        <v>114</v>
      </c>
      <c r="K19" s="33">
        <v>319846</v>
      </c>
      <c r="L19" s="33">
        <v>0</v>
      </c>
      <c r="M19" s="72">
        <v>6.3</v>
      </c>
      <c r="N19" s="72">
        <v>1700</v>
      </c>
      <c r="O19" s="72">
        <v>1400</v>
      </c>
      <c r="P19" s="72">
        <v>1500</v>
      </c>
      <c r="Q19" s="59"/>
      <c r="R19" s="18">
        <v>7.4000000000000003E-3</v>
      </c>
      <c r="S19" s="34">
        <f t="shared" si="0"/>
        <v>3.8999999999999999E-4</v>
      </c>
      <c r="T19" s="34">
        <f t="shared" si="1"/>
        <v>6.2E-4</v>
      </c>
      <c r="U19" s="34">
        <f t="shared" si="2"/>
        <v>6.6E-4</v>
      </c>
      <c r="V19" s="87"/>
      <c r="W19" s="18"/>
      <c r="X19" s="56"/>
    </row>
    <row r="20" spans="2:24" ht="17.25" customHeight="1" thickBot="1" x14ac:dyDescent="0.3">
      <c r="B20" s="6" t="s">
        <v>10</v>
      </c>
      <c r="C20" s="12" t="s">
        <v>95</v>
      </c>
      <c r="D20" s="138">
        <v>14.3</v>
      </c>
      <c r="E20" s="139"/>
      <c r="J20" s="158" t="s">
        <v>168</v>
      </c>
      <c r="K20" s="143">
        <v>71432</v>
      </c>
      <c r="L20" s="143">
        <v>213</v>
      </c>
      <c r="M20" s="72">
        <v>1.4999999999999999E-2</v>
      </c>
      <c r="N20" s="144">
        <v>3.6</v>
      </c>
      <c r="O20" s="144">
        <v>4.5</v>
      </c>
      <c r="P20" s="144">
        <v>5</v>
      </c>
      <c r="Q20" s="59"/>
      <c r="R20" s="142">
        <v>71</v>
      </c>
      <c r="S20" s="34">
        <f t="shared" si="0"/>
        <v>58</v>
      </c>
      <c r="T20" s="34">
        <f t="shared" si="1"/>
        <v>91</v>
      </c>
      <c r="U20" s="34">
        <f t="shared" si="2"/>
        <v>95</v>
      </c>
      <c r="V20" s="87"/>
      <c r="W20" s="32"/>
      <c r="X20" s="5"/>
    </row>
    <row r="21" spans="2:24" ht="16.5" customHeight="1" x14ac:dyDescent="0.25">
      <c r="C21" s="2" t="s">
        <v>98</v>
      </c>
      <c r="D21" s="13"/>
      <c r="E21" s="14"/>
      <c r="J21" s="158"/>
      <c r="K21" s="143"/>
      <c r="L21" s="143"/>
      <c r="M21" s="72">
        <v>5.5E-2</v>
      </c>
      <c r="N21" s="144"/>
      <c r="O21" s="144"/>
      <c r="P21" s="144"/>
      <c r="Q21" s="59"/>
      <c r="R21" s="142"/>
      <c r="S21" s="34">
        <f>ROUND(($D$12/M21)*1000*($D$9/($D$10+($D$15*N20)+($D$16*O20)+($D$17*P20))),2-(1+INT(LOG10(ABS(($D$12/M21)*1000*($D$9/($D$10+($D$15*N20)+($D$16*O20)+($D$17*P20))))))))</f>
        <v>16</v>
      </c>
      <c r="T21" s="34">
        <f>ROUND(($D$12/M21)*1000*($D$9/($D$10+($D$22*N20)+($D$23*O20)+($D$24*P20))),2-(1+INT(LOG10(ABS(($D$12/M21)*1000*($D$9/($D$10+($D$22*N20)+($D$23*O20)+($D$24*P20))))))))</f>
        <v>25</v>
      </c>
      <c r="U21" s="34">
        <f>ROUND(($D$12/M21)*1000*($D$9/($D$10+($D$29*N20)+($D$30*O20)+($D$31*P20))),2-(1+INT(LOG10(ABS(($D$12/M21)*1000*($D$9/($D$10+($D$29*N20)+($D$30*O20)+($D$31*P20))))))))</f>
        <v>26</v>
      </c>
      <c r="V21" s="87"/>
      <c r="W21" s="32"/>
      <c r="X21" s="5"/>
    </row>
    <row r="22" spans="2:24" ht="16.5" x14ac:dyDescent="0.3">
      <c r="C22" s="4" t="s">
        <v>24</v>
      </c>
      <c r="D22" s="114">
        <v>4.1000000000000003E-3</v>
      </c>
      <c r="E22" s="115"/>
      <c r="J22" s="16" t="s">
        <v>115</v>
      </c>
      <c r="K22" s="33">
        <v>92875</v>
      </c>
      <c r="L22" s="33">
        <v>1</v>
      </c>
      <c r="M22" s="72">
        <v>230</v>
      </c>
      <c r="N22" s="72">
        <v>1.4</v>
      </c>
      <c r="O22" s="72">
        <v>1.6</v>
      </c>
      <c r="P22" s="72">
        <v>1.7</v>
      </c>
      <c r="Q22" s="59"/>
      <c r="R22" s="18">
        <v>5.2999999999999998E-4</v>
      </c>
      <c r="S22" s="34">
        <f>ROUND(($D$12/M22)*1000*($D$9/($D$10+($D$15*N22)+($D$16*O22)+($D$17*P22))),2-(1+INT(LOG10(ABS(($D$12/M22)*1000*($D$9/($D$10+($D$15*N22)+($D$16*O22)+($D$17*P22))))))))</f>
        <v>1.0999999999999999E-2</v>
      </c>
      <c r="T22" s="34">
        <f>ROUND(($D$12/M22)*1000*($D$9/($D$10+($D$22*N22)+($D$23*O22)+($D$24*P22))),2-(1+INT(LOG10(ABS(($D$12/M22)*1000*($D$9/($D$10+($D$22*N22)+($D$23*O22)+($D$24*P22))))))))</f>
        <v>1.7000000000000001E-2</v>
      </c>
      <c r="U22" s="34">
        <f>ROUND(($D$12/M22)*1000*($D$9/($D$10+($D$29*N22)+($D$30*O22)+($D$31*P22))),2-(1+INT(LOG10(ABS(($D$12/M22)*1000*($D$9/($D$10+($D$29*N22)+($D$30*O22)+($D$31*P22))))))))</f>
        <v>1.7000000000000001E-2</v>
      </c>
      <c r="V22" s="87"/>
      <c r="W22" s="18"/>
      <c r="X22" s="56"/>
    </row>
    <row r="23" spans="2:24" ht="16.5" x14ac:dyDescent="0.3">
      <c r="C23" s="4" t="s">
        <v>25</v>
      </c>
      <c r="D23" s="136">
        <v>4.3E-3</v>
      </c>
      <c r="E23" s="137"/>
      <c r="J23" s="16" t="s">
        <v>116</v>
      </c>
      <c r="K23" s="33">
        <v>56553</v>
      </c>
      <c r="L23" s="33">
        <v>4</v>
      </c>
      <c r="M23" s="72">
        <v>0.73</v>
      </c>
      <c r="N23" s="72" t="s">
        <v>117</v>
      </c>
      <c r="O23" s="72" t="s">
        <v>117</v>
      </c>
      <c r="P23" s="72" t="s">
        <v>117</v>
      </c>
      <c r="Q23" s="59"/>
      <c r="R23" s="18">
        <v>4.9000000000000002E-2</v>
      </c>
      <c r="S23" s="34">
        <f>ROUND(($D$12/M23)*1000*($D$9/($D$10+(($D$13/1000)*3900))),2-(1+INT(LOG10(ABS(($D$12/M23)*1000*($D$9/($D$10+(($D$13/1000)*3900))))))))</f>
        <v>1.2999999999999999E-3</v>
      </c>
      <c r="T23" s="34">
        <f>ROUND(($D$12/M23)*1000*($D$9/($D$10+(($D$20/1000)*3900))),2-(1+INT(LOG10(ABS(($D$12/M23)*1000*($D$9/($D$10+(($D$20/1000)*3900))))))))</f>
        <v>2E-3</v>
      </c>
      <c r="U23" s="34">
        <f>ROUND(($D$12/M23)*1000*($D$9/($D$10+(($D$27/1000)*3900))),2-(1+INT(LOG10(ABS(($D$12/M23)*1000*($D$9/($D$10+(($D$27/1000)*3900))))))))</f>
        <v>2.0999999999999999E-3</v>
      </c>
      <c r="V23" s="87"/>
      <c r="W23" s="18"/>
      <c r="X23" s="56"/>
    </row>
    <row r="24" spans="2:24" ht="17.25" thickBot="1" x14ac:dyDescent="0.35">
      <c r="C24" s="6" t="s">
        <v>26</v>
      </c>
      <c r="D24" s="118">
        <v>4.8999999999999998E-3</v>
      </c>
      <c r="E24" s="119"/>
      <c r="J24" s="16" t="s">
        <v>118</v>
      </c>
      <c r="K24" s="33">
        <v>50328</v>
      </c>
      <c r="L24" s="33">
        <v>4</v>
      </c>
      <c r="M24" s="72">
        <v>7.3</v>
      </c>
      <c r="N24" s="72" t="s">
        <v>117</v>
      </c>
      <c r="O24" s="72" t="s">
        <v>117</v>
      </c>
      <c r="P24" s="72" t="s">
        <v>117</v>
      </c>
      <c r="Q24" s="59"/>
      <c r="R24" s="18">
        <v>4.9000000000000002E-2</v>
      </c>
      <c r="S24" s="34">
        <f>ROUND(($D$12/M24)*1000*($D$9/($D$10+(($D$13/1000)*3900))),2-(1+INT(LOG10(ABS(($D$12/M24)*1000*($D$9/($D$10+(($D$13/1000)*3900))))))))</f>
        <v>1.2999999999999999E-4</v>
      </c>
      <c r="T24" s="34">
        <f>ROUND(($D$12/M24)*1000*($D$9/($D$10+(($D$20/1000)*3900))),2-(1+INT(LOG10(ABS(($D$12/M24)*1000*($D$9/($D$10+(($D$20/1000)*3900))))))))</f>
        <v>2.0000000000000001E-4</v>
      </c>
      <c r="U24" s="34">
        <f>ROUND(($D$12/M24)*1000*($D$9/($D$10+(($D$27/1000)*3900))),2-(1+INT(LOG10(ABS(($D$12/M24)*1000*($D$9/($D$10+(($D$27/1000)*3900))))))))</f>
        <v>2.1000000000000001E-4</v>
      </c>
      <c r="V24" s="87"/>
      <c r="W24" s="18"/>
      <c r="X24" s="56"/>
    </row>
    <row r="25" spans="2:24" ht="17.25" thickBot="1" x14ac:dyDescent="0.35">
      <c r="J25" s="16" t="s">
        <v>119</v>
      </c>
      <c r="K25" s="33">
        <v>205992</v>
      </c>
      <c r="L25" s="33">
        <v>1</v>
      </c>
      <c r="M25" s="72">
        <v>0.73</v>
      </c>
      <c r="N25" s="72" t="s">
        <v>117</v>
      </c>
      <c r="O25" s="72" t="s">
        <v>117</v>
      </c>
      <c r="P25" s="72" t="s">
        <v>117</v>
      </c>
      <c r="Q25" s="59"/>
      <c r="R25" s="18">
        <v>4.9000000000000002E-2</v>
      </c>
      <c r="S25" s="34">
        <f>ROUND(($D$12/M25)*1000*($D$9/($D$10+(($D$13/1000)*3900))),2-(1+INT(LOG10(ABS(($D$12/M25)*1000*($D$9/($D$10+(($D$13/1000)*3900))))))))</f>
        <v>1.2999999999999999E-3</v>
      </c>
      <c r="T25" s="34">
        <f>ROUND(($D$12/M25)*1000*($D$9/($D$10+(($D$20/1000)*3900))),2-(1+INT(LOG10(ABS(($D$12/M25)*1000*($D$9/($D$10+(($D$20/1000)*3900))))))))</f>
        <v>2E-3</v>
      </c>
      <c r="U25" s="34">
        <f>ROUND(($D$12/M25)*1000*($D$9/($D$10+(($D$27/1000)*3900))),2-(1+INT(LOG10(ABS(($D$12/M25)*1000*($D$9/($D$10+(($D$27/1000)*3900))))))))</f>
        <v>2.0999999999999999E-3</v>
      </c>
      <c r="V25" s="87"/>
      <c r="W25" s="18"/>
      <c r="X25" s="56"/>
    </row>
    <row r="26" spans="2:24" ht="16.5" x14ac:dyDescent="0.3">
      <c r="B26" s="116" t="s">
        <v>28</v>
      </c>
      <c r="C26" s="135"/>
      <c r="D26" s="135"/>
      <c r="E26" s="125"/>
      <c r="J26" s="16" t="s">
        <v>120</v>
      </c>
      <c r="K26" s="33">
        <v>207089</v>
      </c>
      <c r="L26" s="33">
        <v>3</v>
      </c>
      <c r="M26" s="72">
        <v>7.2999999999999995E-2</v>
      </c>
      <c r="N26" s="72" t="s">
        <v>117</v>
      </c>
      <c r="O26" s="72" t="s">
        <v>117</v>
      </c>
      <c r="P26" s="72" t="s">
        <v>117</v>
      </c>
      <c r="Q26" s="59"/>
      <c r="R26" s="18">
        <v>4.9000000000000002E-2</v>
      </c>
      <c r="S26" s="34">
        <f>ROUND(($D$12/M26)*1000*($D$9/($D$10+(($D$13/1000)*3900))),2-(1+INT(LOG10(ABS(($D$12/M26)*1000*($D$9/($D$10+(($D$13/1000)*3900))))))))</f>
        <v>1.2999999999999999E-2</v>
      </c>
      <c r="T26" s="36">
        <f>ROUND(($D$12/M26)*1000*($D$9/($D$10+(($D$20/1000)*3900))),2-(1+INT(LOG10(ABS(($D$12/M26)*1000*($D$9/($D$10+(($D$20/1000)*3900))))))))</f>
        <v>0.02</v>
      </c>
      <c r="U26" s="36">
        <f>ROUND(($D$12/M26)*1000*($D$9/($D$10+(($D$27/1000)*3900))),2-(1+INT(LOG10(ABS(($D$12/M26)*1000*($D$9/($D$10+(($D$27/1000)*3900))))))))</f>
        <v>2.1000000000000001E-2</v>
      </c>
      <c r="V26" s="88"/>
      <c r="W26" s="18"/>
      <c r="X26" s="56"/>
    </row>
    <row r="27" spans="2:24" ht="17.25" thickBot="1" x14ac:dyDescent="0.35">
      <c r="B27" s="6" t="s">
        <v>10</v>
      </c>
      <c r="C27" s="12" t="s">
        <v>95</v>
      </c>
      <c r="D27" s="138">
        <v>13.5</v>
      </c>
      <c r="E27" s="139"/>
      <c r="J27" s="16" t="s">
        <v>121</v>
      </c>
      <c r="K27" s="33">
        <v>319857</v>
      </c>
      <c r="L27" s="33">
        <v>0</v>
      </c>
      <c r="M27" s="72">
        <v>1.8</v>
      </c>
      <c r="N27" s="72">
        <v>110</v>
      </c>
      <c r="O27" s="72">
        <v>160</v>
      </c>
      <c r="P27" s="72">
        <v>180</v>
      </c>
      <c r="Q27" s="59"/>
      <c r="R27" s="18">
        <v>7.4000000000000003E-3</v>
      </c>
      <c r="S27" s="34">
        <f>ROUND(($D$12/M27)*1000*($D$9/($D$10+($D$15*N27)+($D$16*O27)+($D$17*P27))),2-(1+INT(LOG10(ABS(($D$12/M27)*1000*($D$9/($D$10+($D$15*N27)+($D$16*O27)+($D$17*P27))))))))</f>
        <v>1.4E-2</v>
      </c>
      <c r="T27" s="34">
        <f>ROUND(($D$12/M27)*1000*($D$9/($D$10+($D$22*N27)+($D$23*O27)+($D$24*P27))),2-(1+INT(LOG10(ABS(($D$12/M27)*1000*($D$9/($D$10+($D$22*N27)+($D$23*O27)+($D$24*P27))))))))</f>
        <v>2.1999999999999999E-2</v>
      </c>
      <c r="U27" s="34">
        <f>ROUND(($D$12/M27)*1000*($D$9/($D$10+($D$29*N27)+($D$30*O27)+($D$31*P27))),2-(1+INT(LOG10(ABS(($D$12/M27)*1000*($D$9/($D$10+($D$29*N27)+($D$30*O27)+($D$31*P27))))))))</f>
        <v>2.3E-2</v>
      </c>
      <c r="V27" s="87"/>
      <c r="W27" s="18"/>
      <c r="X27" s="56"/>
    </row>
    <row r="28" spans="2:24" ht="16.5" x14ac:dyDescent="0.3">
      <c r="C28" s="2" t="s">
        <v>98</v>
      </c>
      <c r="D28" s="13"/>
      <c r="E28" s="14"/>
      <c r="J28" s="16" t="s">
        <v>122</v>
      </c>
      <c r="K28" s="33">
        <v>117817</v>
      </c>
      <c r="L28" s="33">
        <v>9</v>
      </c>
      <c r="M28" s="72">
        <v>1.4E-2</v>
      </c>
      <c r="N28" s="72" t="s">
        <v>123</v>
      </c>
      <c r="O28" s="72" t="s">
        <v>123</v>
      </c>
      <c r="P28" s="72" t="s">
        <v>123</v>
      </c>
      <c r="Q28" s="59"/>
      <c r="R28" s="18">
        <v>5.9</v>
      </c>
      <c r="S28" s="34">
        <f>ROUND(($D$12/M28)*1000*($D$9/($D$10+(($D$13/1000)*710))),2-(1+INT(LOG10(ABS(($D$12/M28)*1000*($D$9/($D$10+(($D$13/1000)*710))))))))</f>
        <v>0.37</v>
      </c>
      <c r="T28" s="34">
        <f>ROUND(($D$12/M28)*1000*($D$9/($D$10+(($D$20/1000)*710))),2-(1+INT(LOG10(ABS(($D$12/M28)*1000*($D$9/($D$10+(($D$20/1000)*710))))))))</f>
        <v>0.56000000000000005</v>
      </c>
      <c r="U28" s="34">
        <f>ROUND(($D$12/M28)*1000*($D$9/($D$10+(($D$27/1000)*710))),2-(1+INT(LOG10(ABS(($D$12/M28)*1000*($D$9/($D$10+(($D$27/1000)*710))))))))</f>
        <v>0.6</v>
      </c>
      <c r="V28" s="87"/>
      <c r="W28" s="18"/>
      <c r="X28" s="56"/>
    </row>
    <row r="29" spans="2:24" ht="16.5" x14ac:dyDescent="0.3">
      <c r="C29" s="4" t="s">
        <v>24</v>
      </c>
      <c r="D29" s="114">
        <v>3.5999999999999999E-3</v>
      </c>
      <c r="E29" s="115"/>
      <c r="J29" s="16" t="s">
        <v>124</v>
      </c>
      <c r="K29" s="33">
        <v>111444</v>
      </c>
      <c r="L29" s="33">
        <v>2</v>
      </c>
      <c r="M29" s="72">
        <v>1.1000000000000001</v>
      </c>
      <c r="N29" s="72">
        <v>1.4</v>
      </c>
      <c r="O29" s="72">
        <v>1.6</v>
      </c>
      <c r="P29" s="72">
        <v>1.7</v>
      </c>
      <c r="Q29" s="59"/>
      <c r="R29" s="18">
        <v>1.4</v>
      </c>
      <c r="S29" s="34">
        <f>ROUND(($D$12/M29)*1000*($D$9/($D$10+($D$15*N29)+($D$16*O29)+($D$17*P29))),2-(1+INT(LOG10(ABS(($D$12/M29)*1000*($D$9/($D$10+($D$15*N29)+($D$16*O29)+($D$17*P29))))))))</f>
        <v>2.2000000000000002</v>
      </c>
      <c r="T29" s="34">
        <f>ROUND(($D$12/M29)*1000*($D$9/($D$10+($D$22*N29)+($D$23*O29)+($D$24*P29))),2-(1+INT(LOG10(ABS(($D$12/M29)*1000*($D$9/($D$10+($D$22*N29)+($D$23*O29)+($D$24*P29))))))))</f>
        <v>3.5</v>
      </c>
      <c r="U29" s="34">
        <f>ROUND(($D$12/M29)*1000*($D$9/($D$10+($D$29*N29)+($D$30*O29)+($D$31*P29))),2-(1+INT(LOG10(ABS(($D$12/M29)*1000*($D$9/($D$10+($D$29*N29)+($D$30*O29)+($D$31*P29))))))))</f>
        <v>3.6</v>
      </c>
      <c r="V29" s="87"/>
      <c r="W29" s="18"/>
      <c r="X29" s="56"/>
    </row>
    <row r="30" spans="2:24" ht="16.5" x14ac:dyDescent="0.3">
      <c r="C30" s="4" t="s">
        <v>25</v>
      </c>
      <c r="D30" s="136">
        <v>3.8999999999999998E-3</v>
      </c>
      <c r="E30" s="137"/>
      <c r="J30" s="16" t="s">
        <v>125</v>
      </c>
      <c r="K30" s="33">
        <v>542881</v>
      </c>
      <c r="L30" s="33">
        <v>0</v>
      </c>
      <c r="M30" s="72">
        <v>220</v>
      </c>
      <c r="N30" s="72">
        <v>1</v>
      </c>
      <c r="O30" s="72">
        <v>1</v>
      </c>
      <c r="P30" s="72">
        <v>1</v>
      </c>
      <c r="Q30" s="59"/>
      <c r="R30" s="18">
        <v>7.7999999999999999E-4</v>
      </c>
      <c r="S30" s="34">
        <f>ROUND(($D$12/M30)*1000*($D$9/($D$10+($D$15*N30)+($D$16*O30)+($D$17*P30))),2-(1+INT(LOG10(ABS(($D$12/M30)*1000*($D$9/($D$10+($D$15*N30)+($D$16*O30)+($D$17*P30))))))))</f>
        <v>1.7000000000000001E-2</v>
      </c>
      <c r="T30" s="34">
        <f>ROUND(($D$12/M30)*1000*($D$9/($D$10+($D$22*N30)+($D$23*O30)+($D$24*P30))),2-(1+INT(LOG10(ABS(($D$12/M30)*1000*($D$9/($D$10+($D$22*N30)+($D$23*O30)+($D$24*P30))))))))</f>
        <v>2.7E-2</v>
      </c>
      <c r="U30" s="34">
        <f>ROUND(($D$12/M30)*1000*($D$9/($D$10+($D$29*N30)+($D$30*O30)+($D$31*P30))),2-(1+INT(LOG10(ABS(($D$12/M30)*1000*($D$9/($D$10+($D$29*N30)+($D$30*O30)+($D$31*P30))))))))</f>
        <v>2.9000000000000001E-2</v>
      </c>
      <c r="V30" s="87"/>
      <c r="W30" s="18"/>
      <c r="X30" s="56"/>
    </row>
    <row r="31" spans="2:24" ht="17.25" thickBot="1" x14ac:dyDescent="0.35">
      <c r="C31" s="6" t="s">
        <v>26</v>
      </c>
      <c r="D31" s="118">
        <v>5.1000000000000004E-3</v>
      </c>
      <c r="E31" s="119"/>
      <c r="J31" s="16" t="s">
        <v>126</v>
      </c>
      <c r="K31" s="33">
        <v>85687</v>
      </c>
      <c r="L31" s="33">
        <v>0</v>
      </c>
      <c r="M31" s="72">
        <v>1.9E-3</v>
      </c>
      <c r="N31" s="72" t="s">
        <v>127</v>
      </c>
      <c r="O31" s="72" t="s">
        <v>127</v>
      </c>
      <c r="P31" s="72" t="s">
        <v>127</v>
      </c>
      <c r="Q31" s="59"/>
      <c r="R31" s="18">
        <v>5200</v>
      </c>
      <c r="S31" s="36">
        <f>ROUND(($D$12/M31)*1000*($D$9/($D$10+(($D$13/1000)*19000))),2-(1+INT(LOG10(ABS(($D$12/M31)*1000*($D$9/($D$10+(($D$13/1000)*19000))))))))</f>
        <v>0.1</v>
      </c>
      <c r="T31" s="34">
        <f>ROUND(($D$12/M31)*1000*($D$9/($D$10+(($D$20/1000)*19000))),2-(1+INT(LOG10(ABS(($D$12/M31)*1000*($D$9/($D$10+(($D$20/1000)*19000))))))))</f>
        <v>0.15</v>
      </c>
      <c r="U31" s="34">
        <f>ROUND(($D$12/M31)*1000*($D$9/($D$10+(($D$27/1000)*19000))),2-(1+INT(LOG10(ABS(($D$12/M31)*1000*($D$9/($D$10+(($D$27/1000)*19000))))))))</f>
        <v>0.16</v>
      </c>
      <c r="V31" s="87"/>
      <c r="W31" s="18"/>
      <c r="X31" s="56"/>
    </row>
    <row r="32" spans="2:24" ht="16.5" x14ac:dyDescent="0.3">
      <c r="J32" s="16" t="s">
        <v>128</v>
      </c>
      <c r="K32" s="33">
        <v>56235</v>
      </c>
      <c r="L32" s="33">
        <v>4</v>
      </c>
      <c r="M32" s="72">
        <v>7.0000000000000007E-2</v>
      </c>
      <c r="N32" s="72">
        <v>9.3000000000000007</v>
      </c>
      <c r="O32" s="72">
        <v>12</v>
      </c>
      <c r="P32" s="72">
        <v>14</v>
      </c>
      <c r="Q32" s="59"/>
      <c r="R32" s="18">
        <v>5</v>
      </c>
      <c r="S32" s="34">
        <f>ROUND(($D$12/M32)*1000*($D$9/($D$10+($D$15*N32)+($D$16*O32)+($D$17*P32))),1-(1+INT(LOG10(ABS(($D$12/M32)*1000*($D$9/($D$10+($D$15*N32)+($D$16*O32)+($D$17*P32))))))))</f>
        <v>5</v>
      </c>
      <c r="T32" s="34">
        <f>ROUND(($D$12/M32)*1000*($D$9/($D$10+($D$22*N32)+($D$23*O32)+($D$24*P32))),1-(1+INT(LOG10(ABS(($D$12/M32)*1000*($D$9/($D$10+($D$22*N32)+($D$23*O32)+($D$24*P32))))))))</f>
        <v>7</v>
      </c>
      <c r="U32" s="34">
        <f>ROUND(($D$12/M32)*1000*($D$9/($D$10+($D$29*N32)+($D$30*O32)+($D$31*P32))),1-(1+INT(LOG10(ABS(($D$12/M32)*1000*($D$9/($D$10+($D$29*N32)+($D$30*O32)+($D$31*P32))))))))</f>
        <v>8</v>
      </c>
      <c r="V32" s="87"/>
      <c r="W32" s="18"/>
      <c r="X32" s="56"/>
    </row>
    <row r="33" spans="10:24" ht="16.5" x14ac:dyDescent="0.3">
      <c r="J33" s="16" t="s">
        <v>129</v>
      </c>
      <c r="K33" s="33">
        <v>57749</v>
      </c>
      <c r="L33" s="33">
        <v>2</v>
      </c>
      <c r="M33" s="72">
        <v>0.35</v>
      </c>
      <c r="N33" s="72">
        <v>5300</v>
      </c>
      <c r="O33" s="72">
        <v>44000</v>
      </c>
      <c r="P33" s="72">
        <v>60000</v>
      </c>
      <c r="Q33" s="59"/>
      <c r="R33" s="18">
        <v>4.8000000000000001E-4</v>
      </c>
      <c r="S33" s="34">
        <f>ROUND(($D$12/M33)*1000*($D$9/($D$10+($D$15*N33)+($D$16*O33)+($D$17*P33))),2-(1+INT(LOG10(ABS(($D$12/M33)*1000*($D$9/($D$10+($D$15*N33)+($D$16*O33)+($D$17*P33))))))))</f>
        <v>3.2000000000000003E-4</v>
      </c>
      <c r="T33" s="34">
        <f>ROUND(($D$12/M33)*1000*($D$9/($D$10+($D$22*N33)+($D$23*O33)+($D$24*P33))),2-(1+INT(LOG10(ABS(($D$12/M33)*1000*($D$9/($D$10+($D$22*N33)+($D$23*O33)+($D$24*P33))))))))</f>
        <v>4.4999999999999999E-4</v>
      </c>
      <c r="U33" s="34">
        <f>ROUND(($D$12/M33)*1000*($D$9/($D$10+($D$29*N33)+($D$30*O33)+($D$31*P33))),2-(1+INT(LOG10(ABS(($D$12/M33)*1000*($D$9/($D$10+($D$29*N33)+($D$30*O33)+($D$31*P33))))))))</f>
        <v>4.6000000000000001E-4</v>
      </c>
      <c r="V33" s="87"/>
      <c r="W33" s="18">
        <v>2.4</v>
      </c>
      <c r="X33" s="56">
        <v>4.3E-3</v>
      </c>
    </row>
    <row r="34" spans="10:24" ht="16.5" x14ac:dyDescent="0.3">
      <c r="J34" s="16" t="s">
        <v>130</v>
      </c>
      <c r="K34" s="33">
        <v>124481</v>
      </c>
      <c r="L34" s="33">
        <v>1</v>
      </c>
      <c r="M34" s="72">
        <v>0.04</v>
      </c>
      <c r="N34" s="72">
        <v>3.7</v>
      </c>
      <c r="O34" s="72">
        <v>4.8</v>
      </c>
      <c r="P34" s="72">
        <v>5.3</v>
      </c>
      <c r="Q34" s="59"/>
      <c r="R34" s="18">
        <v>34</v>
      </c>
      <c r="S34" s="34">
        <f>ROUND(($D$12/M34)*1000*($D$9/($D$10+($D$15*N34)+($D$16*O34)+($D$17*P34))),2-(1+INT(LOG10(ABS(($D$12/M34)*1000*($D$9/($D$10+($D$15*N34)+($D$16*O34)+($D$17*P34))))))))</f>
        <v>21</v>
      </c>
      <c r="T34" s="34">
        <f>ROUND(($D$12/M34)*1000*($D$9/($D$10+($D$22*N34)+($D$23*O34)+($D$24*P34))),2-(1+INT(LOG10(ABS(($D$12/M34)*1000*($D$9/($D$10+($D$22*N34)+($D$23*O34)+($D$24*P34))))))))</f>
        <v>32</v>
      </c>
      <c r="U34" s="34">
        <f>ROUND(($D$12/M34)*1000*($D$9/($D$10+($D$29*N34)+($D$30*O34)+($D$31*P34))),2-(1+INT(LOG10(ABS(($D$12/M34)*1000*($D$9/($D$10+($D$29*N34)+($D$30*O34)+($D$31*P34))))))))</f>
        <v>34</v>
      </c>
      <c r="V34" s="87"/>
      <c r="W34" s="18"/>
      <c r="X34" s="56"/>
    </row>
    <row r="35" spans="10:24" ht="16.5" x14ac:dyDescent="0.3">
      <c r="J35" s="16" t="s">
        <v>131</v>
      </c>
      <c r="K35" s="33">
        <v>218019</v>
      </c>
      <c r="L35" s="33">
        <v>3</v>
      </c>
      <c r="M35" s="72">
        <v>7.3000000000000001E-3</v>
      </c>
      <c r="N35" s="72" t="s">
        <v>117</v>
      </c>
      <c r="O35" s="72" t="s">
        <v>117</v>
      </c>
      <c r="P35" s="72" t="s">
        <v>117</v>
      </c>
      <c r="Q35" s="59"/>
      <c r="R35" s="18">
        <v>4.9000000000000002E-2</v>
      </c>
      <c r="S35" s="34">
        <f>ROUND(($D$12/M35)*1000*($D$9/($D$10+(($D$13/1000)*3900))),2-(1+INT(LOG10(ABS(($D$12/M35)*1000*($D$9/($D$10+(($D$13/1000)*3900))))))))</f>
        <v>0.13</v>
      </c>
      <c r="T35" s="34">
        <f>ROUND(($D$12/M35)*1000*($D$9/($D$10+(($D$20/1000)*3900))),2-(1+INT(LOG10(ABS(($D$12/M35)*1000*($D$9/($D$10+(($D$20/1000)*3900))))))))</f>
        <v>0.2</v>
      </c>
      <c r="U35" s="34">
        <f>ROUND(($D$12/M35)*1000*($D$9/($D$10+(($D$27/1000)*3900))),2-(1+INT(LOG10(ABS(($D$12/M35)*1000*($D$9/($D$10+(($D$27/1000)*3900))))))))</f>
        <v>0.21</v>
      </c>
      <c r="V35" s="87"/>
      <c r="W35" s="18"/>
      <c r="X35" s="56"/>
    </row>
    <row r="36" spans="10:24" ht="16.5" x14ac:dyDescent="0.3">
      <c r="J36" s="16" t="s">
        <v>132</v>
      </c>
      <c r="K36" s="33">
        <v>53703</v>
      </c>
      <c r="L36" s="33">
        <v>3</v>
      </c>
      <c r="M36" s="72">
        <v>7.3</v>
      </c>
      <c r="N36" s="72" t="s">
        <v>117</v>
      </c>
      <c r="O36" s="72" t="s">
        <v>117</v>
      </c>
      <c r="P36" s="72" t="s">
        <v>117</v>
      </c>
      <c r="Q36" s="59"/>
      <c r="R36" s="18">
        <v>4.9000000000000002E-2</v>
      </c>
      <c r="S36" s="34">
        <f>ROUND(($D$12/M36)*1000*($D$9/($D$10+(($D$13/1000)*3900))),2-(1+INT(LOG10(ABS(($D$12/M36)*1000*($D$9/($D$10+(($D$13/1000)*3900))))))))</f>
        <v>1.2999999999999999E-4</v>
      </c>
      <c r="T36" s="34">
        <f>ROUND(($D$12/M36)*1000*($D$9/($D$10+(($D$20/1000)*3900))),2-(1+INT(LOG10(ABS(($D$12/M36)*1000*($D$9/($D$10+(($D$20/1000)*3900))))))))</f>
        <v>2.0000000000000001E-4</v>
      </c>
      <c r="U36" s="34">
        <f>ROUND(($D$12/M36)*1000*($D$9/($D$10+(($D$27/1000)*3900))),2-(1+INT(LOG10(ABS(($D$12/M36)*1000*($D$9/($D$10+(($D$27/1000)*3900))))))))</f>
        <v>2.1000000000000001E-4</v>
      </c>
      <c r="V36" s="87"/>
      <c r="W36" s="18"/>
      <c r="X36" s="56"/>
    </row>
    <row r="37" spans="10:24" ht="16.5" x14ac:dyDescent="0.3">
      <c r="J37" s="16" t="s">
        <v>133</v>
      </c>
      <c r="K37" s="33">
        <v>75274</v>
      </c>
      <c r="L37" s="33">
        <v>1</v>
      </c>
      <c r="M37" s="72">
        <v>3.4000000000000002E-2</v>
      </c>
      <c r="N37" s="72">
        <v>3.4</v>
      </c>
      <c r="O37" s="72">
        <v>4.3</v>
      </c>
      <c r="P37" s="72">
        <v>4.8</v>
      </c>
      <c r="Q37" s="59"/>
      <c r="R37" s="18">
        <v>46</v>
      </c>
      <c r="S37" s="34">
        <f>ROUND(($D$12/M37)*1000*($D$9/($D$10+($D$15*N37)+($D$16*O37)+($D$17*P37))),2-(1+INT(LOG10(ABS(($D$12/M37)*1000*($D$9/($D$10+($D$15*N37)+($D$16*O37)+($D$17*P37))))))))</f>
        <v>27</v>
      </c>
      <c r="T37" s="34">
        <f>ROUND(($D$12/M37)*1000*($D$9/($D$10+($D$22*N37)+($D$23*O37)+($D$24*P37))),2-(1+INT(LOG10(ABS(($D$12/M37)*1000*($D$9/($D$10+($D$22*N37)+($D$23*O37)+($D$24*P37))))))))</f>
        <v>42</v>
      </c>
      <c r="U37" s="34">
        <f t="shared" ref="U37:U42" si="3">ROUND(($D$12/M37)*1000*($D$9/($D$10+($D$29*N37)+($D$30*O37)+($D$31*P37))),2-(1+INT(LOG10(ABS(($D$12/M37)*1000*($D$9/($D$10+($D$29*N37)+($D$30*O37)+($D$31*P37))))))))</f>
        <v>44</v>
      </c>
      <c r="V37" s="87"/>
      <c r="W37" s="18"/>
      <c r="X37" s="56"/>
    </row>
    <row r="38" spans="10:24" ht="16.5" x14ac:dyDescent="0.3">
      <c r="J38" s="16" t="s">
        <v>134</v>
      </c>
      <c r="K38" s="33">
        <v>60571</v>
      </c>
      <c r="L38" s="33">
        <v>3</v>
      </c>
      <c r="M38" s="72">
        <v>16</v>
      </c>
      <c r="N38" s="72">
        <v>14000</v>
      </c>
      <c r="O38" s="72">
        <v>210000</v>
      </c>
      <c r="P38" s="72">
        <v>410000</v>
      </c>
      <c r="Q38" s="59"/>
      <c r="R38" s="18">
        <v>7.6000000000000004E-5</v>
      </c>
      <c r="S38" s="34">
        <f>ROUND(($D$12/M38)*1000*($D$9/($D$10+($D$15*N38)+($D$16*O38)+($D$17*P38))),2-(1+INT(LOG10(ABS(($D$12/M38)*1000*($D$9/($D$10+($D$15*N38)+($D$16*O38)+($D$17*P38))))))))</f>
        <v>1.1999999999999999E-6</v>
      </c>
      <c r="T38" s="34">
        <f>ROUND(($D$12/M38)*1000*($D$9/($D$10+($D$22*N38)+($D$23*O38)+($D$24*P38))),2-(1+INT(LOG10(ABS(($D$12/M38)*1000*($D$9/($D$10+($D$22*N38)+($D$23*O38)+($D$24*P38))))))))</f>
        <v>1.7E-6</v>
      </c>
      <c r="U38" s="34">
        <f t="shared" si="3"/>
        <v>1.7E-6</v>
      </c>
      <c r="V38" s="87"/>
      <c r="W38" s="18">
        <v>0.24</v>
      </c>
      <c r="X38" s="56">
        <v>5.6000000000000001E-2</v>
      </c>
    </row>
    <row r="39" spans="10:24" ht="16.5" x14ac:dyDescent="0.3">
      <c r="J39" s="16" t="s">
        <v>135</v>
      </c>
      <c r="K39" s="33">
        <v>76448</v>
      </c>
      <c r="L39" s="33">
        <v>2</v>
      </c>
      <c r="M39" s="72">
        <v>4.0999999999999996</v>
      </c>
      <c r="N39" s="72">
        <v>12000</v>
      </c>
      <c r="O39" s="72">
        <v>180000</v>
      </c>
      <c r="P39" s="72">
        <v>330000</v>
      </c>
      <c r="Q39" s="59"/>
      <c r="R39" s="18">
        <v>2.0000000000000001E-4</v>
      </c>
      <c r="S39" s="34">
        <f>ROUND(($D$12/M39)*1000*($D$9/($D$10+($D$15*N39)+($D$16*O39)+($D$17*P39))),2-(1+INT(LOG10(ABS(($D$12/M39)*1000*($D$9/($D$10+($D$15*N39)+($D$16*O39)+($D$17*P39))))))))</f>
        <v>5.9000000000000003E-6</v>
      </c>
      <c r="T39" s="34">
        <f>ROUND(($D$12/M39)*1000*($D$9/($D$10+($D$22*N39)+($D$23*O39)+($D$24*P39))),2-(1+INT(LOG10(ABS(($D$12/M39)*1000*($D$9/($D$10+($D$22*N39)+($D$23*O39)+($D$24*P39))))))))</f>
        <v>7.9999999999999996E-6</v>
      </c>
      <c r="U39" s="34">
        <f t="shared" si="3"/>
        <v>7.9999999999999996E-6</v>
      </c>
      <c r="V39" s="87"/>
      <c r="W39" s="18">
        <v>0.52</v>
      </c>
      <c r="X39" s="56">
        <v>3.8E-3</v>
      </c>
    </row>
    <row r="40" spans="10:24" ht="16.5" x14ac:dyDescent="0.3">
      <c r="J40" s="16" t="s">
        <v>136</v>
      </c>
      <c r="K40" s="33">
        <v>1024573</v>
      </c>
      <c r="L40" s="33">
        <v>1</v>
      </c>
      <c r="M40" s="72">
        <v>5.5</v>
      </c>
      <c r="N40" s="72">
        <v>4000</v>
      </c>
      <c r="O40" s="72">
        <v>28000</v>
      </c>
      <c r="P40" s="72">
        <v>35000</v>
      </c>
      <c r="Q40" s="59"/>
      <c r="R40" s="18">
        <v>1.1E-4</v>
      </c>
      <c r="S40" s="34">
        <f>ROUND(($D$12/M40)*1000*($D$9/($D$10+($D$15*N40)+($D$16*O40)+($D$17*P40))),2-(1+INT(LOG10(ABS(($D$12/M40)*1000*($D$9/($D$10+($D$15*N40)+($D$16*O40)+($D$17*P40))))))))</f>
        <v>3.1999999999999999E-5</v>
      </c>
      <c r="T40" s="34">
        <f>ROUND(($D$12/M40)*1000*($D$9/($D$10+($D$22*N40)+($D$23*O40)+($D$24*P40))),2-(1+INT(LOG10(ABS(($D$12/M40)*1000*($D$9/($D$10+($D$22*N40)+($D$23*O40)+($D$24*P40))))))))</f>
        <v>4.6999999999999997E-5</v>
      </c>
      <c r="U40" s="34">
        <f t="shared" si="3"/>
        <v>4.8000000000000001E-5</v>
      </c>
      <c r="V40" s="87"/>
      <c r="W40" s="18">
        <v>0.52</v>
      </c>
      <c r="X40" s="56">
        <v>3.8E-3</v>
      </c>
    </row>
    <row r="41" spans="10:24" ht="16.5" x14ac:dyDescent="0.3">
      <c r="J41" s="16" t="s">
        <v>137</v>
      </c>
      <c r="K41" s="33">
        <v>118741</v>
      </c>
      <c r="L41" s="33">
        <v>3</v>
      </c>
      <c r="M41" s="72">
        <v>1.02</v>
      </c>
      <c r="N41" s="72">
        <v>18000</v>
      </c>
      <c r="O41" s="72">
        <v>46000</v>
      </c>
      <c r="P41" s="72">
        <v>90000</v>
      </c>
      <c r="Q41" s="59"/>
      <c r="R41" s="18">
        <v>7.3999999999999999E-4</v>
      </c>
      <c r="S41" s="34">
        <f>ROUND(($D$12/M41)*1000*($D$9/($D$10+($D$15*N41)+($D$16*O41)+($D$17*P41))),2-(1+INT(LOG10(ABS(($D$12/M41)*1000*($D$9/($D$10+($D$15*N41)+($D$16*O41)+($D$17*P41))))))))</f>
        <v>7.8999999999999996E-5</v>
      </c>
      <c r="T41" s="34">
        <f>ROUND(($D$12/M41)*1000*($D$9/($D$10+($D$22*N41)+($D$23*O41)+($D$24*P41))),2-(1+INT(LOG10(ABS(($D$12/M41)*1000*($D$9/($D$10+($D$22*N41)+($D$23*O41)+($D$24*P41))))))))</f>
        <v>1.1E-4</v>
      </c>
      <c r="U41" s="34">
        <f t="shared" si="3"/>
        <v>1.1E-4</v>
      </c>
      <c r="V41" s="87"/>
      <c r="W41" s="18"/>
      <c r="X41" s="56"/>
    </row>
    <row r="42" spans="10:24" ht="16.5" x14ac:dyDescent="0.3">
      <c r="J42" s="16" t="s">
        <v>138</v>
      </c>
      <c r="K42" s="33">
        <v>87683</v>
      </c>
      <c r="L42" s="33">
        <v>3</v>
      </c>
      <c r="M42" s="72">
        <v>0.04</v>
      </c>
      <c r="N42" s="72">
        <v>23000</v>
      </c>
      <c r="O42" s="72">
        <v>2800</v>
      </c>
      <c r="P42" s="72">
        <v>1100</v>
      </c>
      <c r="Q42" s="59"/>
      <c r="R42" s="18">
        <v>50</v>
      </c>
      <c r="S42" s="34">
        <f>ROUND(($D$12/M42)*1000*($D$9/($D$10+($D$15*N42)+($D$16*O42)+($D$17*P42))),1-(1+INT(LOG10(ABS(($D$12/M42)*1000*($D$9/($D$10+($D$15*N42)+($D$16*O42)+($D$17*P42))))))))</f>
        <v>0.01</v>
      </c>
      <c r="T42" s="34">
        <f>ROUND(($D$12/M42)*1000*($D$9/($D$10+($D$22*N42)+($D$23*O42)+($D$24*P42))),1-(1+INT(LOG10(ABS(($D$12/M42)*1000*($D$9/($D$10+($D$22*N42)+($D$23*O42)+($D$24*P42))))))))</f>
        <v>0.02</v>
      </c>
      <c r="U42" s="34">
        <f t="shared" si="3"/>
        <v>0.02</v>
      </c>
      <c r="V42" s="87"/>
      <c r="W42" s="18"/>
      <c r="X42" s="56"/>
    </row>
    <row r="43" spans="10:24" ht="16.5" x14ac:dyDescent="0.3">
      <c r="J43" s="16" t="s">
        <v>139</v>
      </c>
      <c r="K43" s="33">
        <v>67721</v>
      </c>
      <c r="L43" s="33">
        <v>3</v>
      </c>
      <c r="M43" s="72">
        <v>0.04</v>
      </c>
      <c r="N43" s="72">
        <v>1200</v>
      </c>
      <c r="O43" s="72">
        <v>280</v>
      </c>
      <c r="P43" s="72">
        <v>600</v>
      </c>
      <c r="Q43" s="59"/>
      <c r="R43" s="18">
        <v>8.6999999999999993</v>
      </c>
      <c r="S43" s="34">
        <f>ROUND(($D$12/M43)*1000*($D$9/($D$10+($D$15*N43)+($D$16*O43)+($D$17*P43))),1-(1+INT(LOG10(ABS(($D$12/M43)*1000*($D$9/($D$10+($D$15*N43)+($D$16*O43)+($D$17*P43))))))))</f>
        <v>0.1</v>
      </c>
      <c r="T43" s="34">
        <f>ROUND(($D$12/M43)*1000*($D$9/($D$10+($D$22*N43)+($D$23*O43)+($D$24*P43))),1-(1+INT(LOG10(ABS(($D$12/M43)*1000*($D$9/($D$10+($D$22*N43)+($D$23*O43)+($D$24*P43))))))))</f>
        <v>0.2</v>
      </c>
      <c r="U43" s="34">
        <f>ROUND(($D$12/M43)*1000*($D$9/($D$10+($D$29*N43)+($D$30*O43)+($D$31*P43))),1-(1+INT(LOG10(ABS(($D$12/M43)*1000*($D$9/($D$10+($D$29*N43)+($D$30*O43)+($D$31*P43))))))))</f>
        <v>0.2</v>
      </c>
      <c r="V43" s="87"/>
      <c r="W43" s="18"/>
      <c r="X43" s="56"/>
    </row>
    <row r="44" spans="10:24" ht="16.5" x14ac:dyDescent="0.3">
      <c r="J44" s="16" t="s">
        <v>140</v>
      </c>
      <c r="K44" s="33">
        <v>193395</v>
      </c>
      <c r="L44" s="33">
        <v>4</v>
      </c>
      <c r="M44" s="72">
        <v>0.73</v>
      </c>
      <c r="N44" s="72" t="s">
        <v>117</v>
      </c>
      <c r="O44" s="72" t="s">
        <v>117</v>
      </c>
      <c r="P44" s="72" t="s">
        <v>117</v>
      </c>
      <c r="Q44" s="59"/>
      <c r="R44" s="18">
        <v>4.9000000000000002E-2</v>
      </c>
      <c r="S44" s="34">
        <f>ROUND(($D$12/M44)*1000*($D$9/($D$10+(($D$13/1000)*3900))),2-(1+INT(LOG10(ABS(($D$12/M44)*1000*($D$9/($D$10+(($D$13/1000)*3900))))))))</f>
        <v>1.2999999999999999E-3</v>
      </c>
      <c r="T44" s="34">
        <f>ROUND(($D$12/M44)*1000*($D$9/($D$10+(($D$20/1000)*3900))),2-(1+INT(LOG10(ABS(($D$12/M44)*1000*($D$9/($D$10+(($D$20/1000)*3900))))))))</f>
        <v>2E-3</v>
      </c>
      <c r="U44" s="34">
        <f>ROUND(($D$12/M44)*1000*($D$9/($D$10+(($D$27/1000)*3900))),2-(1+INT(LOG10(ABS(($D$12/M44)*1000*($D$9/($D$10+(($D$27/1000)*3900))))))))</f>
        <v>2.0999999999999999E-3</v>
      </c>
      <c r="V44" s="87"/>
      <c r="W44" s="18"/>
      <c r="X44" s="56"/>
    </row>
    <row r="45" spans="10:24" ht="16.5" x14ac:dyDescent="0.3">
      <c r="J45" s="16" t="s">
        <v>141</v>
      </c>
      <c r="K45" s="33">
        <v>78591</v>
      </c>
      <c r="L45" s="33">
        <v>1</v>
      </c>
      <c r="M45" s="72">
        <v>9.5E-4</v>
      </c>
      <c r="N45" s="72">
        <v>1.9</v>
      </c>
      <c r="O45" s="72">
        <v>2.2000000000000002</v>
      </c>
      <c r="P45" s="72">
        <v>2.4</v>
      </c>
      <c r="Q45" s="59"/>
      <c r="R45" s="18">
        <v>2600</v>
      </c>
      <c r="S45" s="34">
        <f>ROUND(($D$12/M45)*1000*($D$9/($D$10+($D$15*N45)+($D$16*O45)+($D$17*P45))),2-(1+INT(LOG10(ABS(($D$12/M45)*1000*($D$9/($D$10+($D$15*N45)+($D$16*O45)+($D$17*P45))))))))</f>
        <v>1800</v>
      </c>
      <c r="T45" s="34">
        <f>ROUND(($D$12/M45)*1000*($D$9/($D$10+($D$22*N45)+($D$23*O45)+($D$24*P45))),2-(1+INT(LOG10(ABS(($D$12/M45)*1000*($D$9/($D$10+($D$22*N45)+($D$23*O45)+($D$24*P45))))))))</f>
        <v>2900</v>
      </c>
      <c r="U45" s="34">
        <f>ROUND(($D$12/M45)*1000*($D$9/($D$10+($D$29*N45)+($D$30*O45)+($D$31*P45))),2-(1+INT(LOG10(ABS(($D$12/M45)*1000*($D$9/($D$10+($D$29*N45)+($D$30*O45)+($D$31*P45))))))))</f>
        <v>3000</v>
      </c>
      <c r="V45" s="87"/>
      <c r="W45" s="18"/>
      <c r="X45" s="56"/>
    </row>
    <row r="46" spans="10:24" ht="16.5" x14ac:dyDescent="0.3">
      <c r="J46" s="16" t="s">
        <v>142</v>
      </c>
      <c r="K46" s="33">
        <v>75092</v>
      </c>
      <c r="L46" s="33">
        <v>0</v>
      </c>
      <c r="M46" s="72">
        <v>2E-3</v>
      </c>
      <c r="N46" s="72">
        <v>1.4</v>
      </c>
      <c r="O46" s="72">
        <v>1.5</v>
      </c>
      <c r="P46" s="72">
        <v>1.6</v>
      </c>
      <c r="Q46" s="59"/>
      <c r="R46" s="18">
        <v>1600</v>
      </c>
      <c r="S46" s="34">
        <f>ROUND(($D$12/M46)*1000*($D$9/($D$10+($D$15*N46)+($D$16*O46)+($D$17*P46))),1-(1+INT(LOG10(ABS(($D$12/M46)*1000*($D$9/($D$10+($D$15*N46)+($D$16*O46)+($D$17*P46))))))))</f>
        <v>1000</v>
      </c>
      <c r="T46" s="34">
        <f>ROUND(($D$12/M46)*1000*($D$9/($D$10+($D$22*N46)+($D$23*O46)+($D$24*P46))),2-(1+INT(LOG10(ABS(($D$12/M46)*1000*($D$9/($D$10+($D$22*N46)+($D$23*O46)+($D$24*P46))))))))</f>
        <v>2000</v>
      </c>
      <c r="U46" s="34">
        <f>ROUND(($D$12/M46)*1000*($D$9/($D$10+($D$29*N46)+($D$30*O46)+($D$31*P46))),2-(1+INT(LOG10(ABS(($D$12/M46)*1000*($D$9/($D$10+($D$29*N46)+($D$30*O46)+($D$31*P46))))))))</f>
        <v>2100</v>
      </c>
      <c r="V46" s="87"/>
      <c r="W46" s="18"/>
      <c r="X46" s="56"/>
    </row>
    <row r="47" spans="10:24" ht="16.5" x14ac:dyDescent="0.3">
      <c r="J47" s="16" t="s">
        <v>143</v>
      </c>
      <c r="K47" s="33">
        <v>87865</v>
      </c>
      <c r="L47" s="33">
        <v>4</v>
      </c>
      <c r="M47" s="72">
        <v>0.4</v>
      </c>
      <c r="N47" s="72">
        <v>44</v>
      </c>
      <c r="O47" s="72">
        <v>290</v>
      </c>
      <c r="P47" s="72">
        <v>520</v>
      </c>
      <c r="Q47" s="59"/>
      <c r="R47" s="18">
        <v>8</v>
      </c>
      <c r="S47" s="34">
        <f>ROUND(($D$12/M47)*1000*($D$9/($D$10+($D$15*N47)+($D$16*O47)+($D$17*P47))),1-(1+INT(LOG10(ABS(($D$12/M47)*1000*($D$9/($D$10+($D$15*N47)+($D$16*O47)+($D$17*P47))))))))</f>
        <v>0.04</v>
      </c>
      <c r="T47" s="34">
        <f>ROUND(($D$12/M47)*1000*($D$9/($D$10+($D$22*N47)+($D$23*O47)+($D$24*P47))),1-(1+INT(LOG10(ABS(($D$12/M47)*1000*($D$9/($D$10+($D$22*N47)+($D$23*O47)+($D$24*P47))))))))</f>
        <v>0.05</v>
      </c>
      <c r="U47" s="34">
        <f>ROUND(($D$12/M47)*1000*($D$9/($D$10+($D$29*N47)+($D$30*O47)+($D$31*P47))),1-(1+INT(LOG10(ABS(($D$12/M47)*1000*($D$9/($D$10+($D$29*N47)+($D$30*O47)+($D$31*P47))))))))</f>
        <v>0.05</v>
      </c>
      <c r="V47" s="87"/>
      <c r="W47" s="18" t="s">
        <v>158</v>
      </c>
      <c r="X47" s="56" t="s">
        <v>158</v>
      </c>
    </row>
    <row r="48" spans="10:24" ht="16.5" x14ac:dyDescent="0.3">
      <c r="J48" s="16" t="s">
        <v>144</v>
      </c>
      <c r="K48" s="33">
        <v>608731</v>
      </c>
      <c r="L48" s="33">
        <v>0</v>
      </c>
      <c r="M48" s="72">
        <v>1.8</v>
      </c>
      <c r="N48" s="72">
        <v>160</v>
      </c>
      <c r="O48" s="72">
        <v>220</v>
      </c>
      <c r="P48" s="72">
        <v>250</v>
      </c>
      <c r="Q48" s="59"/>
      <c r="R48" s="31" t="s">
        <v>157</v>
      </c>
      <c r="S48" s="34">
        <f>ROUND(($D$12/M48)*1000*($D$9/($D$10+($D$15*N48)+($D$16*O48)+($D$17*P48))),2-(1+INT(LOG10(ABS(($D$12/M48)*1000*($D$9/($D$10+($D$15*N48)+($D$16*O48)+($D$17*P48))))))))</f>
        <v>0.01</v>
      </c>
      <c r="T48" s="34">
        <f>ROUND(($D$12/M48)*1000*($D$9/($D$10+($D$22*N48)+($D$23*O48)+($D$24*P48))),2-(1+INT(LOG10(ABS(($D$12/M48)*1000*($D$9/($D$10+($D$22*N48)+($D$23*O48)+($D$24*P48))))))))</f>
        <v>1.6E-2</v>
      </c>
      <c r="U48" s="34">
        <f>ROUND(($D$12/M48)*1000*($D$9/($D$10+($D$29*N48)+($D$30*O48)+($D$31*P48))),2-(1+INT(LOG10(ABS(($D$12/M48)*1000*($D$9/($D$10+($D$29*N48)+($D$30*O48)+($D$31*P48))))))))</f>
        <v>1.6E-2</v>
      </c>
      <c r="V48" s="87"/>
      <c r="W48" s="18"/>
      <c r="X48" s="56"/>
    </row>
    <row r="49" spans="10:24" ht="16.5" x14ac:dyDescent="0.3">
      <c r="J49" s="16" t="s">
        <v>145</v>
      </c>
      <c r="K49" s="33">
        <v>127184</v>
      </c>
      <c r="L49" s="33">
        <v>9</v>
      </c>
      <c r="M49" s="72">
        <v>2.0999999999999999E-3</v>
      </c>
      <c r="N49" s="72">
        <v>49</v>
      </c>
      <c r="O49" s="72">
        <v>66</v>
      </c>
      <c r="P49" s="72">
        <v>76</v>
      </c>
      <c r="Q49" s="59"/>
      <c r="R49" s="18">
        <v>8.85</v>
      </c>
      <c r="S49" s="34">
        <f>ROUND(($D$12/M49)*1000*($D$9/($D$10+($D$15*N49)+($D$16*O49)+($D$17*P49))),2-(1+INT(LOG10(ABS(($D$12/M49)*1000*($D$9/($D$10+($D$15*N49)+($D$16*O49)+($D$17*P49))))))))</f>
        <v>29</v>
      </c>
      <c r="T49" s="34">
        <f>ROUND(($D$12/M49)*1000*($D$9/($D$10+($D$22*N49)+($D$23*O49)+($D$24*P49))),2-(1+INT(LOG10(ABS(($D$12/M49)*1000*($D$9/($D$10+($D$22*N49)+($D$23*O49)+($D$24*P49))))))))</f>
        <v>44</v>
      </c>
      <c r="U49" s="34">
        <f>ROUND(($D$12/M49)*1000*($D$9/($D$10+($D$29*N49)+($D$30*O49)+($D$31*P49))),2-(1+INT(LOG10(ABS(($D$12/M49)*1000*($D$9/($D$10+($D$29*N49)+($D$30*O49)+($D$31*P49))))))))</f>
        <v>46</v>
      </c>
      <c r="V49" s="87"/>
      <c r="W49" s="18"/>
      <c r="X49" s="56"/>
    </row>
    <row r="50" spans="10:24" ht="16.5" x14ac:dyDescent="0.3">
      <c r="J50" s="16" t="s">
        <v>146</v>
      </c>
      <c r="K50" s="33">
        <v>8001352</v>
      </c>
      <c r="L50" s="33">
        <v>2</v>
      </c>
      <c r="M50" s="72">
        <v>1.1000000000000001</v>
      </c>
      <c r="N50" s="72">
        <v>1700</v>
      </c>
      <c r="O50" s="72">
        <v>6600</v>
      </c>
      <c r="P50" s="72">
        <v>6300</v>
      </c>
      <c r="Q50" s="59"/>
      <c r="R50" s="18">
        <v>7.2999999999999999E-5</v>
      </c>
      <c r="S50" s="34">
        <f>ROUND(($D$12/M50)*1000*($D$9/($D$10+($D$15*N50)+($D$16*O50)+($D$17*P50))),2-(1+INT(LOG10(ABS(($D$12/M50)*1000*($D$9/($D$10+($D$15*N50)+($D$16*O50)+($D$17*P50))))))))</f>
        <v>7.1000000000000002E-4</v>
      </c>
      <c r="T50" s="34">
        <f>ROUND(($D$12/M50)*1000*($D$9/($D$10+($D$22*N50)+($D$23*O50)+($D$24*P50))),2-(1+INT(LOG10(ABS(($D$12/M50)*1000*($D$9/($D$10+($D$22*N50)+($D$23*O50)+($D$24*P50))))))))</f>
        <v>1.1000000000000001E-3</v>
      </c>
      <c r="U50" s="34">
        <f>ROUND(($D$12/M50)*1000*($D$9/($D$10+($D$29*N50)+($D$30*O50)+($D$31*P50))),2-(1+INT(LOG10(ABS(($D$12/M50)*1000*($D$9/($D$10+($D$29*N50)+($D$30*O50)+($D$31*P50))))))))</f>
        <v>1.1000000000000001E-3</v>
      </c>
      <c r="V50" s="87"/>
      <c r="W50" s="18">
        <v>0.73</v>
      </c>
      <c r="X50" s="56">
        <v>2.0000000000000001E-4</v>
      </c>
    </row>
    <row r="51" spans="10:24" ht="16.5" x14ac:dyDescent="0.3">
      <c r="J51" s="16" t="s">
        <v>147</v>
      </c>
      <c r="K51" s="33">
        <v>75252</v>
      </c>
      <c r="L51" s="33">
        <v>2</v>
      </c>
      <c r="M51" s="72">
        <v>4.4999999999999997E-3</v>
      </c>
      <c r="N51" s="72">
        <v>5.8</v>
      </c>
      <c r="O51" s="72">
        <v>7.5</v>
      </c>
      <c r="P51" s="72">
        <v>8.5</v>
      </c>
      <c r="Q51" s="59"/>
      <c r="R51" s="18">
        <v>360</v>
      </c>
      <c r="S51" s="34">
        <f>ROUND(($D$12/M51)*1000*($D$9/($D$10+($D$15*N51)+($D$16*O51)+($D$17*P51))),2-(1+INT(LOG10(ABS(($D$12/M51)*1000*($D$9/($D$10+($D$15*N51)+($D$16*O51)+($D$17*P51))))))))</f>
        <v>120</v>
      </c>
      <c r="T51" s="34">
        <f>ROUND(($D$12/M51)*1000*($D$9/($D$10+($D$22*N51)+($D$23*O51)+($D$24*P51))),2-(1+INT(LOG10(ABS(($D$12/M51)*1000*($D$9/($D$10+($D$22*N51)+($D$23*O51)+($D$24*P51))))))))</f>
        <v>180</v>
      </c>
      <c r="U51" s="34">
        <f>ROUND(($D$12/M51)*1000*($D$9/($D$10+($D$29*N51)+($D$30*O51)+($D$31*P51))),2-(1+INT(LOG10(ABS(($D$12/M51)*1000*($D$9/($D$10+($D$29*N51)+($D$30*O51)+($D$31*P51))))))))</f>
        <v>190</v>
      </c>
      <c r="V51" s="87"/>
      <c r="W51" s="18"/>
      <c r="X51" s="56"/>
    </row>
    <row r="52" spans="10:24" ht="16.5" x14ac:dyDescent="0.3">
      <c r="J52" s="16" t="s">
        <v>148</v>
      </c>
      <c r="K52" s="33">
        <v>79016</v>
      </c>
      <c r="L52" s="33">
        <v>15</v>
      </c>
      <c r="M52" s="72">
        <v>0.05</v>
      </c>
      <c r="N52" s="72">
        <v>8.6999999999999993</v>
      </c>
      <c r="O52" s="72">
        <v>12</v>
      </c>
      <c r="P52" s="72">
        <v>13</v>
      </c>
      <c r="Q52" s="59"/>
      <c r="R52" s="18">
        <v>80</v>
      </c>
      <c r="S52" s="34">
        <f>ROUND(($D$12/M52)*1000*($D$9/($D$10+($D$15*N52)+($D$16*O52)+($D$17*P52))),1-(1+INT(LOG10(ABS(($D$12/M52)*1000*($D$9/($D$10+($D$15*N52)+($D$16*O52)+($D$17*P52))))))))</f>
        <v>7</v>
      </c>
      <c r="T52" s="34">
        <f>ROUND(($D$12/M52)*1000*($D$9/($D$10+($D$22*N52)+($D$23*O52)+($D$24*P52))),1-(1+INT(LOG10(ABS(($D$12/M52)*1000*($D$9/($D$10+($D$22*N52)+($D$23*O52)+($D$24*P52))))))))</f>
        <v>10</v>
      </c>
      <c r="U52" s="34">
        <f>ROUND(($D$12/M52)*1000*($D$9/($D$10+($D$29*N52)+($D$30*O52)+($D$31*P52))),1-(1+INT(LOG10(ABS(($D$12/M52)*1000*($D$9/($D$10+($D$29*N52)+($D$30*O52)+($D$31*P52))))))))</f>
        <v>10</v>
      </c>
      <c r="V52" s="87"/>
      <c r="W52" s="18"/>
      <c r="X52" s="56"/>
    </row>
    <row r="53" spans="10:24" ht="17.25" thickBot="1" x14ac:dyDescent="0.35">
      <c r="J53" s="19" t="s">
        <v>149</v>
      </c>
      <c r="K53" s="29">
        <v>75014</v>
      </c>
      <c r="L53" s="29">
        <v>11</v>
      </c>
      <c r="M53" s="75">
        <v>1.5</v>
      </c>
      <c r="N53" s="75">
        <v>1.4</v>
      </c>
      <c r="O53" s="75">
        <v>1.6</v>
      </c>
      <c r="P53" s="75">
        <v>1.7</v>
      </c>
      <c r="Q53" s="60"/>
      <c r="R53" s="22">
        <v>525</v>
      </c>
      <c r="S53" s="37">
        <f>ROUND(($D$12/M53)*1000*($D$9/($D$10+($D$15*N53)+($D$16*O53)+($D$17*P53))),2-(1+INT(LOG10(ABS(($D$12/M53)*1000*($D$9/($D$10+($D$15*N53)+($D$16*O53)+($D$17*P53))))))))</f>
        <v>1.6</v>
      </c>
      <c r="T53" s="37">
        <f>ROUND(($D$12/M53)*1000*($D$9/($D$10+($D$22*N53)+($D$23*O53)+($D$24*P53))),2-(1+INT(LOG10(ABS(($D$12/M53)*1000*($D$9/($D$10+($D$22*N53)+($D$23*O53)+($D$24*P53))))))))</f>
        <v>2.5</v>
      </c>
      <c r="U53" s="37">
        <f>ROUND(($D$12/M53)*1000*($D$9/($D$10+($D$29*N53)+($D$30*O53)+($D$31*P53))),2-(1+INT(LOG10(ABS(($D$12/M53)*1000*($D$9/($D$10+($D$29*N53)+($D$30*O53)+($D$31*P53))))))))</f>
        <v>2.7</v>
      </c>
      <c r="V53" s="89"/>
      <c r="W53" s="22"/>
      <c r="X53" s="57"/>
    </row>
    <row r="54" spans="10:24" ht="15.75" thickBot="1" x14ac:dyDescent="0.3">
      <c r="M54" s="90"/>
      <c r="N54" s="90"/>
      <c r="O54" s="90"/>
      <c r="P54" s="90"/>
    </row>
    <row r="55" spans="10:24" ht="15.75" thickBot="1" x14ac:dyDescent="0.3">
      <c r="J55" s="26"/>
      <c r="R55" s="107" t="s">
        <v>164</v>
      </c>
    </row>
    <row r="56" spans="10:24" x14ac:dyDescent="0.25">
      <c r="J56" s="26"/>
      <c r="R56" s="103"/>
      <c r="S56" s="149" t="s">
        <v>165</v>
      </c>
      <c r="T56" s="149"/>
      <c r="U56" s="149"/>
      <c r="V56" s="149"/>
      <c r="W56" s="150"/>
    </row>
    <row r="57" spans="10:24" x14ac:dyDescent="0.25">
      <c r="R57" s="101"/>
      <c r="S57" s="151" t="s">
        <v>167</v>
      </c>
      <c r="T57" s="151"/>
      <c r="U57" s="151"/>
      <c r="V57" s="151"/>
      <c r="W57" s="152"/>
    </row>
    <row r="58" spans="10:24" ht="15.75" thickBot="1" x14ac:dyDescent="0.3">
      <c r="R58" s="104"/>
      <c r="S58" s="153" t="s">
        <v>166</v>
      </c>
      <c r="T58" s="153"/>
      <c r="U58" s="153"/>
      <c r="V58" s="153"/>
      <c r="W58" s="154"/>
    </row>
  </sheetData>
  <mergeCells count="31">
    <mergeCell ref="S56:W56"/>
    <mergeCell ref="S57:W57"/>
    <mergeCell ref="S58:W58"/>
    <mergeCell ref="S2:U2"/>
    <mergeCell ref="J20:J21"/>
    <mergeCell ref="K20:K21"/>
    <mergeCell ref="D8:E8"/>
    <mergeCell ref="D31:E31"/>
    <mergeCell ref="D20:E20"/>
    <mergeCell ref="D24:E24"/>
    <mergeCell ref="D27:E27"/>
    <mergeCell ref="D13:E13"/>
    <mergeCell ref="D15:E15"/>
    <mergeCell ref="D16:E16"/>
    <mergeCell ref="D17:E17"/>
    <mergeCell ref="D30:E30"/>
    <mergeCell ref="D22:E22"/>
    <mergeCell ref="D23:E23"/>
    <mergeCell ref="B26:E26"/>
    <mergeCell ref="D29:E29"/>
    <mergeCell ref="B8:C8"/>
    <mergeCell ref="D9:E9"/>
    <mergeCell ref="D11:E11"/>
    <mergeCell ref="D12:E12"/>
    <mergeCell ref="B19:E19"/>
    <mergeCell ref="R20:R21"/>
    <mergeCell ref="L20:L21"/>
    <mergeCell ref="N20:N21"/>
    <mergeCell ref="O20:O21"/>
    <mergeCell ref="P20:P21"/>
    <mergeCell ref="D10:E10"/>
  </mergeCells>
  <conditionalFormatting sqref="S4:S19">
    <cfRule type="expression" dxfId="23" priority="21">
      <formula>S4&gt;R4</formula>
    </cfRule>
    <cfRule type="expression" dxfId="22" priority="25">
      <formula>S4&lt;R4</formula>
    </cfRule>
  </conditionalFormatting>
  <conditionalFormatting sqref="S22:S53">
    <cfRule type="expression" dxfId="21" priority="20">
      <formula>S22&gt;R22</formula>
    </cfRule>
    <cfRule type="expression" dxfId="20" priority="24">
      <formula>S22&lt;R22</formula>
    </cfRule>
  </conditionalFormatting>
  <conditionalFormatting sqref="S20">
    <cfRule type="expression" dxfId="19" priority="19">
      <formula>"s20&gt;r20"</formula>
    </cfRule>
    <cfRule type="expression" dxfId="18" priority="23">
      <formula>S20&lt;R20</formula>
    </cfRule>
  </conditionalFormatting>
  <conditionalFormatting sqref="S21">
    <cfRule type="expression" dxfId="17" priority="18">
      <formula>S21&gt;R20</formula>
    </cfRule>
    <cfRule type="expression" dxfId="16" priority="22">
      <formula>S21&lt;R20</formula>
    </cfRule>
  </conditionalFormatting>
  <conditionalFormatting sqref="T4:T19">
    <cfRule type="expression" dxfId="15" priority="15">
      <formula>T4&gt;R4</formula>
    </cfRule>
    <cfRule type="expression" dxfId="14" priority="17">
      <formula>T4&lt;R4</formula>
    </cfRule>
  </conditionalFormatting>
  <conditionalFormatting sqref="U4:U19">
    <cfRule type="expression" dxfId="13" priority="14">
      <formula>U4&gt;R4</formula>
    </cfRule>
    <cfRule type="expression" dxfId="12" priority="16">
      <formula>U4&lt;R4</formula>
    </cfRule>
  </conditionalFormatting>
  <conditionalFormatting sqref="T22:T53">
    <cfRule type="expression" dxfId="11" priority="12">
      <formula>T22&gt;R22</formula>
    </cfRule>
    <cfRule type="expression" dxfId="10" priority="13">
      <formula>T22&lt;R22</formula>
    </cfRule>
  </conditionalFormatting>
  <conditionalFormatting sqref="U22:U53">
    <cfRule type="expression" dxfId="9" priority="9">
      <formula>U22&gt;R22</formula>
    </cfRule>
    <cfRule type="expression" dxfId="8" priority="11">
      <formula>U22&lt;R22</formula>
    </cfRule>
  </conditionalFormatting>
  <conditionalFormatting sqref="T20">
    <cfRule type="expression" dxfId="7" priority="7">
      <formula>T20&gt;R20</formula>
    </cfRule>
    <cfRule type="expression" dxfId="6" priority="8">
      <formula>T20&lt;R20</formula>
    </cfRule>
  </conditionalFormatting>
  <conditionalFormatting sqref="U20">
    <cfRule type="expression" dxfId="5" priority="5">
      <formula>U20&gt;R20</formula>
    </cfRule>
    <cfRule type="expression" dxfId="4" priority="6">
      <formula>U20&lt;R20</formula>
    </cfRule>
  </conditionalFormatting>
  <conditionalFormatting sqref="T21">
    <cfRule type="expression" dxfId="3" priority="3">
      <formula>T21&gt;R20</formula>
    </cfRule>
    <cfRule type="expression" dxfId="2" priority="4">
      <formula>T21&lt;R20</formula>
    </cfRule>
  </conditionalFormatting>
  <conditionalFormatting sqref="U21">
    <cfRule type="expression" dxfId="1" priority="1">
      <formula>U21&lt;R20</formula>
    </cfRule>
    <cfRule type="expression" dxfId="0" priority="2">
      <formula>U21&gt;R20</formula>
    </cfRule>
  </conditionalFormatting>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Equations</vt:lpstr>
      <vt:lpstr>Noncarcinogens</vt:lpstr>
      <vt:lpstr>Carcinogens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Gallagher, Owen</dc:creator>
  <cp:lastModifiedBy>Fisher, Tracy</cp:lastModifiedBy>
  <cp:lastPrinted>2024-03-05T14:05:59Z</cp:lastPrinted>
  <dcterms:created xsi:type="dcterms:W3CDTF">2024-02-28T14:26:38Z</dcterms:created>
  <dcterms:modified xsi:type="dcterms:W3CDTF">2024-03-05T14:07:02Z</dcterms:modified>
</cp:coreProperties>
</file>