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apparker\2_External TRM Work\Missouri\Characterizations\Low Impact\R3\Computer Power Management Software\"/>
    </mc:Choice>
  </mc:AlternateContent>
  <bookViews>
    <workbookView xWindow="0" yWindow="0" windowWidth="24000" windowHeight="9135" tabRatio="864" activeTab="6"/>
  </bookViews>
  <sheets>
    <sheet name="Start Here" sheetId="7" r:id="rId1"/>
    <sheet name="Adjust - sleep settings" sheetId="4" r:id="rId2"/>
    <sheet name="Adjust- power draw" sheetId="2" r:id="rId3"/>
    <sheet name="Adjust - usage patterns" sheetId="5" r:id="rId4"/>
    <sheet name="Results" sheetId="6" r:id="rId5"/>
    <sheet name="Scratch Work" sheetId="11" r:id="rId6"/>
    <sheet name="Modeling Study" sheetId="9" r:id="rId7"/>
    <sheet name="Drop Down Ref" sheetId="13" state="hidden" r:id="rId8"/>
  </sheets>
  <externalReferences>
    <externalReference r:id="rId9"/>
  </externalReferences>
  <definedNames>
    <definedName name="_xlnm.Print_Area" localSheetId="1">'Adjust - sleep settings'!$A$1:$H$19</definedName>
    <definedName name="_xlnm.Print_Area" localSheetId="3">'Adjust - usage patterns'!$A$1:$G$15</definedName>
    <definedName name="_xlnm.Print_Area" localSheetId="2">'Adjust- power draw'!$A$1:$G$21</definedName>
    <definedName name="_xlnm.Print_Area" localSheetId="4">Results!$A$1:$I$30</definedName>
    <definedName name="_xlnm.Print_Area" localSheetId="0">'Start Here'!$A$1:$K$38</definedName>
  </definedNames>
  <calcPr calcId="152511"/>
</workbook>
</file>

<file path=xl/calcChain.xml><?xml version="1.0" encoding="utf-8"?>
<calcChain xmlns="http://schemas.openxmlformats.org/spreadsheetml/2006/main">
  <c r="J48" i="9" l="1"/>
  <c r="E23" i="11"/>
  <c r="D21" i="11"/>
  <c r="D19" i="11"/>
  <c r="I11" i="11"/>
  <c r="E19" i="11"/>
  <c r="C19" i="11"/>
  <c r="C2" i="11"/>
  <c r="C8" i="11"/>
  <c r="K19" i="11" l="1"/>
  <c r="E2" i="11"/>
  <c r="C10" i="6" s="1"/>
  <c r="G10" i="13" l="1"/>
  <c r="G11" i="13" s="1"/>
  <c r="G12" i="13" s="1"/>
  <c r="G13" i="13" s="1"/>
  <c r="G14" i="13" s="1"/>
  <c r="G15" i="13" l="1"/>
  <c r="G16" i="13" s="1"/>
  <c r="G17" i="13" s="1"/>
  <c r="G18" i="13" s="1"/>
  <c r="G19" i="13" s="1"/>
  <c r="G20" i="13" s="1"/>
  <c r="J11" i="11"/>
  <c r="H36" i="7"/>
  <c r="I15" i="7" s="1"/>
  <c r="E13" i="2"/>
  <c r="E12" i="2"/>
  <c r="E11" i="2"/>
  <c r="E10" i="2"/>
  <c r="E9" i="2"/>
  <c r="E8" i="2"/>
  <c r="E7" i="2"/>
  <c r="E6" i="2"/>
  <c r="E5" i="2"/>
  <c r="E14" i="11" l="1"/>
  <c r="G14" i="11"/>
  <c r="C14" i="11"/>
  <c r="F6" i="9" l="1"/>
  <c r="G6" i="9" s="1"/>
  <c r="F3" i="9"/>
  <c r="F12" i="9" s="1"/>
  <c r="G12" i="9" s="1"/>
  <c r="F10" i="9"/>
  <c r="G10" i="9" s="1"/>
  <c r="F13" i="9"/>
  <c r="G13" i="9" s="1"/>
  <c r="F15" i="9"/>
  <c r="G15" i="9" s="1"/>
  <c r="F16" i="9"/>
  <c r="G16" i="9" s="1"/>
  <c r="F17" i="9"/>
  <c r="G17" i="9" s="1"/>
  <c r="F19" i="9"/>
  <c r="G19" i="9" s="1"/>
  <c r="F23" i="9"/>
  <c r="G23" i="9" s="1"/>
  <c r="F24" i="9"/>
  <c r="G24" i="9" s="1"/>
  <c r="F25" i="9"/>
  <c r="G25" i="9" s="1"/>
  <c r="F26" i="9"/>
  <c r="G26" i="9" s="1"/>
  <c r="F30" i="9"/>
  <c r="G30" i="9" s="1"/>
  <c r="F32" i="9"/>
  <c r="G32" i="9" s="1"/>
  <c r="F34" i="9"/>
  <c r="G34" i="9" s="1"/>
  <c r="F39" i="9"/>
  <c r="G39" i="9" s="1"/>
  <c r="F41" i="9"/>
  <c r="G41" i="9" s="1"/>
  <c r="F43" i="9"/>
  <c r="G43" i="9" s="1"/>
  <c r="C12" i="11"/>
  <c r="D25" i="11"/>
  <c r="C13" i="11"/>
  <c r="J6" i="9"/>
  <c r="J3" i="9"/>
  <c r="J7" i="9" s="1"/>
  <c r="K7" i="9" s="1"/>
  <c r="J10" i="9"/>
  <c r="K10" i="9" s="1"/>
  <c r="J15" i="9"/>
  <c r="K15" i="9" s="1"/>
  <c r="J16" i="9"/>
  <c r="K16" i="9" s="1"/>
  <c r="J23" i="9"/>
  <c r="K23" i="9" s="1"/>
  <c r="J24" i="9"/>
  <c r="K24" i="9" s="1"/>
  <c r="J25" i="9"/>
  <c r="K25" i="9" s="1"/>
  <c r="J26" i="9"/>
  <c r="K26" i="9" s="1"/>
  <c r="J30" i="9"/>
  <c r="K30" i="9" s="1"/>
  <c r="J32" i="9"/>
  <c r="K32" i="9" s="1"/>
  <c r="J34" i="9"/>
  <c r="K34" i="9" s="1"/>
  <c r="J39" i="9"/>
  <c r="K39" i="9" s="1"/>
  <c r="J41" i="9"/>
  <c r="K41" i="9" s="1"/>
  <c r="J43" i="9"/>
  <c r="K43" i="9" s="1"/>
  <c r="D8" i="11"/>
  <c r="G21" i="11" s="1"/>
  <c r="G12" i="11"/>
  <c r="D12" i="11" s="1"/>
  <c r="G13" i="11"/>
  <c r="E12" i="11"/>
  <c r="D6" i="9"/>
  <c r="E6" i="9" s="1"/>
  <c r="D3" i="9"/>
  <c r="D8" i="9" s="1"/>
  <c r="D10" i="9"/>
  <c r="E10" i="9" s="1"/>
  <c r="D15" i="9"/>
  <c r="E15" i="9" s="1"/>
  <c r="D16" i="9"/>
  <c r="E16" i="9" s="1"/>
  <c r="D23" i="9"/>
  <c r="E23" i="9" s="1"/>
  <c r="D24" i="9"/>
  <c r="E24" i="9" s="1"/>
  <c r="D25" i="9"/>
  <c r="E25" i="9" s="1"/>
  <c r="D26" i="9"/>
  <c r="E26" i="9" s="1"/>
  <c r="D30" i="9"/>
  <c r="E30" i="9" s="1"/>
  <c r="D32" i="9"/>
  <c r="E32" i="9" s="1"/>
  <c r="D34" i="9"/>
  <c r="E34" i="9" s="1"/>
  <c r="D39" i="9"/>
  <c r="E39" i="9" s="1"/>
  <c r="D41" i="9"/>
  <c r="E41" i="9" s="1"/>
  <c r="D43" i="9"/>
  <c r="E43" i="9" s="1"/>
  <c r="E8" i="11"/>
  <c r="J25" i="11" s="1"/>
  <c r="E13" i="11"/>
  <c r="H6" i="9"/>
  <c r="I6" i="9" s="1"/>
  <c r="H3" i="9"/>
  <c r="H40" i="9" s="1"/>
  <c r="I40" i="9" s="1"/>
  <c r="H10" i="9"/>
  <c r="I10" i="9" s="1"/>
  <c r="H15" i="9"/>
  <c r="I15" i="9" s="1"/>
  <c r="H16" i="9"/>
  <c r="I16" i="9" s="1"/>
  <c r="H23" i="9"/>
  <c r="I23" i="9" s="1"/>
  <c r="H24" i="9"/>
  <c r="I24" i="9" s="1"/>
  <c r="H25" i="9"/>
  <c r="I25" i="9" s="1"/>
  <c r="H26" i="9"/>
  <c r="I26" i="9" s="1"/>
  <c r="H30" i="9"/>
  <c r="I30" i="9" s="1"/>
  <c r="H32" i="9"/>
  <c r="I32" i="9" s="1"/>
  <c r="H34" i="9"/>
  <c r="I34" i="9" s="1"/>
  <c r="H39" i="9"/>
  <c r="I39" i="9" s="1"/>
  <c r="H41" i="9"/>
  <c r="I41" i="9" s="1"/>
  <c r="H43" i="9"/>
  <c r="I43" i="9" s="1"/>
  <c r="F8" i="11"/>
  <c r="M21" i="11" s="1"/>
  <c r="G4" i="5"/>
  <c r="D14" i="11"/>
  <c r="J8" i="11"/>
  <c r="D35" i="7"/>
  <c r="D36" i="7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F11" i="9"/>
  <c r="G11" i="9" s="1"/>
  <c r="F9" i="9"/>
  <c r="G9" i="9" s="1"/>
  <c r="J36" i="9"/>
  <c r="K36" i="9" s="1"/>
  <c r="D19" i="9" l="1"/>
  <c r="E19" i="9" s="1"/>
  <c r="F8" i="9"/>
  <c r="G8" i="9" s="1"/>
  <c r="D42" i="9"/>
  <c r="E42" i="9" s="1"/>
  <c r="F37" i="9"/>
  <c r="G37" i="9" s="1"/>
  <c r="F29" i="9"/>
  <c r="G29" i="9" s="1"/>
  <c r="D31" i="9"/>
  <c r="E31" i="9" s="1"/>
  <c r="D9" i="9"/>
  <c r="E9" i="9" s="1"/>
  <c r="D37" i="9"/>
  <c r="E37" i="9" s="1"/>
  <c r="D17" i="9"/>
  <c r="E17" i="9" s="1"/>
  <c r="D29" i="9"/>
  <c r="E29" i="9" s="1"/>
  <c r="D38" i="9"/>
  <c r="E38" i="9" s="1"/>
  <c r="D20" i="9"/>
  <c r="E20" i="9" s="1"/>
  <c r="D7" i="9"/>
  <c r="E7" i="9" s="1"/>
  <c r="H28" i="9"/>
  <c r="I28" i="9" s="1"/>
  <c r="J17" i="9"/>
  <c r="K17" i="9" s="1"/>
  <c r="J38" i="9"/>
  <c r="K38" i="9" s="1"/>
  <c r="D14" i="9"/>
  <c r="E14" i="9" s="1"/>
  <c r="F33" i="9"/>
  <c r="G33" i="9" s="1"/>
  <c r="F27" i="9"/>
  <c r="G27" i="9" s="1"/>
  <c r="J29" i="9"/>
  <c r="K29" i="9" s="1"/>
  <c r="D18" i="9"/>
  <c r="E18" i="9" s="1"/>
  <c r="D12" i="9"/>
  <c r="E12" i="9" s="1"/>
  <c r="J20" i="9"/>
  <c r="K20" i="9" s="1"/>
  <c r="F35" i="9"/>
  <c r="G35" i="9" s="1"/>
  <c r="F31" i="9"/>
  <c r="G31" i="9" s="1"/>
  <c r="F21" i="9"/>
  <c r="G21" i="9" s="1"/>
  <c r="J21" i="9"/>
  <c r="K21" i="9" s="1"/>
  <c r="J37" i="9"/>
  <c r="K37" i="9" s="1"/>
  <c r="J22" i="9"/>
  <c r="K22" i="9" s="1"/>
  <c r="J9" i="9"/>
  <c r="K9" i="9" s="1"/>
  <c r="J44" i="9"/>
  <c r="K44" i="9" s="1"/>
  <c r="J31" i="9"/>
  <c r="K31" i="9" s="1"/>
  <c r="J18" i="9"/>
  <c r="K18" i="9" s="1"/>
  <c r="H35" i="9"/>
  <c r="I35" i="9" s="1"/>
  <c r="H11" i="9"/>
  <c r="I11" i="9" s="1"/>
  <c r="H38" i="9"/>
  <c r="I38" i="9" s="1"/>
  <c r="H17" i="9"/>
  <c r="I17" i="9" s="1"/>
  <c r="D35" i="9"/>
  <c r="E35" i="9" s="1"/>
  <c r="D27" i="9"/>
  <c r="E27" i="9" s="1"/>
  <c r="D13" i="9"/>
  <c r="E13" i="9" s="1"/>
  <c r="D36" i="9"/>
  <c r="E36" i="9" s="1"/>
  <c r="D28" i="9"/>
  <c r="E28" i="9" s="1"/>
  <c r="D33" i="9"/>
  <c r="E33" i="9" s="1"/>
  <c r="D21" i="9"/>
  <c r="E21" i="9" s="1"/>
  <c r="D11" i="9"/>
  <c r="E11" i="9" s="1"/>
  <c r="D44" i="9"/>
  <c r="E44" i="9" s="1"/>
  <c r="D40" i="9"/>
  <c r="E40" i="9" s="1"/>
  <c r="D22" i="9"/>
  <c r="E22" i="9" s="1"/>
  <c r="H9" i="9"/>
  <c r="I9" i="9" s="1"/>
  <c r="H13" i="9"/>
  <c r="I13" i="9" s="1"/>
  <c r="H19" i="9"/>
  <c r="I19" i="9" s="1"/>
  <c r="H22" i="9"/>
  <c r="I22" i="9" s="1"/>
  <c r="H31" i="9"/>
  <c r="I31" i="9" s="1"/>
  <c r="H36" i="9"/>
  <c r="I36" i="9" s="1"/>
  <c r="H42" i="9"/>
  <c r="I42" i="9" s="1"/>
  <c r="H14" i="9"/>
  <c r="I14" i="9" s="1"/>
  <c r="H20" i="9"/>
  <c r="I20" i="9" s="1"/>
  <c r="H27" i="9"/>
  <c r="I27" i="9" s="1"/>
  <c r="H33" i="9"/>
  <c r="I33" i="9" s="1"/>
  <c r="H37" i="9"/>
  <c r="I37" i="9" s="1"/>
  <c r="H44" i="9"/>
  <c r="I44" i="9" s="1"/>
  <c r="H7" i="9"/>
  <c r="I7" i="9" s="1"/>
  <c r="H8" i="9"/>
  <c r="I8" i="9" s="1"/>
  <c r="H12" i="9"/>
  <c r="I12" i="9" s="1"/>
  <c r="H18" i="9"/>
  <c r="I18" i="9" s="1"/>
  <c r="H21" i="9"/>
  <c r="I21" i="9" s="1"/>
  <c r="H29" i="9"/>
  <c r="I29" i="9" s="1"/>
  <c r="J13" i="9"/>
  <c r="K13" i="9" s="1"/>
  <c r="J42" i="9"/>
  <c r="K42" i="9" s="1"/>
  <c r="J35" i="9"/>
  <c r="K35" i="9" s="1"/>
  <c r="J27" i="9"/>
  <c r="K27" i="9" s="1"/>
  <c r="J12" i="9"/>
  <c r="K12" i="9" s="1"/>
  <c r="J8" i="9"/>
  <c r="K8" i="9" s="1"/>
  <c r="F42" i="9"/>
  <c r="G42" i="9" s="1"/>
  <c r="F38" i="9"/>
  <c r="G38" i="9" s="1"/>
  <c r="F22" i="9"/>
  <c r="G22" i="9" s="1"/>
  <c r="F18" i="9"/>
  <c r="G18" i="9" s="1"/>
  <c r="F14" i="9"/>
  <c r="G14" i="9" s="1"/>
  <c r="F7" i="9"/>
  <c r="G7" i="9" s="1"/>
  <c r="F44" i="9"/>
  <c r="G44" i="9" s="1"/>
  <c r="F40" i="9"/>
  <c r="G40" i="9" s="1"/>
  <c r="F36" i="9"/>
  <c r="G36" i="9" s="1"/>
  <c r="F28" i="9"/>
  <c r="G28" i="9" s="1"/>
  <c r="F20" i="9"/>
  <c r="G20" i="9" s="1"/>
  <c r="F14" i="11"/>
  <c r="M25" i="11"/>
  <c r="G25" i="11"/>
  <c r="F13" i="11"/>
  <c r="J21" i="11"/>
  <c r="D13" i="11"/>
  <c r="F12" i="11"/>
  <c r="K6" i="9"/>
  <c r="E8" i="9"/>
  <c r="J19" i="9"/>
  <c r="K19" i="9" s="1"/>
  <c r="J11" i="9"/>
  <c r="K11" i="9" s="1"/>
  <c r="J40" i="9"/>
  <c r="K40" i="9" s="1"/>
  <c r="J33" i="9"/>
  <c r="K33" i="9" s="1"/>
  <c r="J28" i="9"/>
  <c r="K28" i="9" s="1"/>
  <c r="J14" i="9"/>
  <c r="K14" i="9" s="1"/>
  <c r="F46" i="9" l="1"/>
  <c r="E46" i="9"/>
  <c r="D46" i="9"/>
  <c r="D48" i="9" s="1"/>
  <c r="I46" i="9"/>
  <c r="H46" i="9"/>
  <c r="G46" i="9"/>
  <c r="K21" i="11"/>
  <c r="N25" i="11"/>
  <c r="E20" i="11"/>
  <c r="K25" i="11"/>
  <c r="K20" i="11"/>
  <c r="H20" i="11"/>
  <c r="N20" i="11"/>
  <c r="E25" i="11"/>
  <c r="N21" i="11"/>
  <c r="H21" i="11"/>
  <c r="H25" i="11"/>
  <c r="E21" i="11"/>
  <c r="J46" i="9"/>
  <c r="K46" i="9"/>
  <c r="F48" i="9" l="1"/>
  <c r="D7" i="11"/>
  <c r="G24" i="11" s="1"/>
  <c r="H48" i="9"/>
  <c r="F6" i="11" s="1"/>
  <c r="D6" i="11"/>
  <c r="E7" i="11"/>
  <c r="J24" i="11" s="1"/>
  <c r="E6" i="11"/>
  <c r="C6" i="11" l="1"/>
  <c r="C7" i="11"/>
  <c r="D24" i="11" s="1"/>
  <c r="C24" i="11" s="1"/>
  <c r="E24" i="11" s="1"/>
  <c r="F7" i="11"/>
  <c r="M24" i="11" s="1"/>
  <c r="L24" i="11" s="1"/>
  <c r="N24" i="11" s="1"/>
  <c r="M23" i="11"/>
  <c r="L23" i="11" s="1"/>
  <c r="N23" i="11" s="1"/>
  <c r="J19" i="11"/>
  <c r="I19" i="11"/>
  <c r="E9" i="11"/>
  <c r="J23" i="11"/>
  <c r="G23" i="11"/>
  <c r="G19" i="11"/>
  <c r="I24" i="11"/>
  <c r="K24" i="11" s="1"/>
  <c r="F24" i="11"/>
  <c r="H24" i="11" s="1"/>
  <c r="D9" i="11"/>
  <c r="C9" i="11" l="1"/>
  <c r="D23" i="11"/>
  <c r="C23" i="11" s="1"/>
  <c r="C3" i="11" s="1"/>
  <c r="L19" i="11"/>
  <c r="F9" i="11"/>
  <c r="M19" i="11"/>
  <c r="F3" i="11"/>
  <c r="F19" i="11"/>
  <c r="F23" i="11"/>
  <c r="I23" i="11"/>
  <c r="K23" i="11" s="1"/>
  <c r="C14" i="6" l="1"/>
  <c r="F14" i="6" s="1"/>
  <c r="G14" i="6" s="1"/>
  <c r="N19" i="11"/>
  <c r="F2" i="11" s="1"/>
  <c r="C11" i="6" s="1"/>
  <c r="H23" i="11"/>
  <c r="D3" i="11" s="1"/>
  <c r="H19" i="11"/>
  <c r="D2" i="11" s="1"/>
  <c r="E3" i="11"/>
  <c r="F11" i="6" l="1"/>
  <c r="C12" i="6"/>
  <c r="H14" i="6"/>
  <c r="D14" i="6"/>
  <c r="E14" i="6" s="1"/>
  <c r="H11" i="6"/>
  <c r="G11" i="6"/>
  <c r="F10" i="6"/>
  <c r="D11" i="6"/>
  <c r="E11" i="6" s="1"/>
  <c r="C15" i="6"/>
  <c r="F15" i="6" s="1"/>
  <c r="H15" i="6" l="1"/>
  <c r="G15" i="6"/>
  <c r="H10" i="6"/>
  <c r="G10" i="6"/>
  <c r="D10" i="6"/>
  <c r="E10" i="6" s="1"/>
  <c r="E12" i="6" s="1"/>
  <c r="F12" i="6"/>
  <c r="D15" i="6"/>
  <c r="C16" i="6"/>
  <c r="C18" i="6" s="1"/>
  <c r="D12" i="6" l="1"/>
  <c r="H12" i="6"/>
  <c r="H16" i="6"/>
  <c r="G16" i="6"/>
  <c r="F16" i="6"/>
  <c r="F18" i="6" s="1"/>
  <c r="G12" i="6"/>
  <c r="E15" i="6"/>
  <c r="E16" i="6" s="1"/>
  <c r="E18" i="6" s="1"/>
  <c r="D16" i="6"/>
  <c r="D18" i="6" l="1"/>
  <c r="H18" i="6"/>
  <c r="G18" i="6"/>
</calcChain>
</file>

<file path=xl/sharedStrings.xml><?xml version="1.0" encoding="utf-8"?>
<sst xmlns="http://schemas.openxmlformats.org/spreadsheetml/2006/main" count="288" uniqueCount="208">
  <si>
    <t>ENERGY STAR Computer Power Management Savings Calculator</t>
  </si>
  <si>
    <t>Monitors:</t>
  </si>
  <si>
    <t>Computers:</t>
  </si>
  <si>
    <t>Savings Estimate</t>
  </si>
  <si>
    <t>Notes about defaults and assumptions:</t>
  </si>
  <si>
    <t>Connecticut</t>
  </si>
  <si>
    <t>Maine</t>
  </si>
  <si>
    <t>Massachusetts</t>
  </si>
  <si>
    <t>New Hampshire</t>
  </si>
  <si>
    <t>Rhode Island</t>
  </si>
  <si>
    <t>Vermont</t>
  </si>
  <si>
    <t>New Jersey</t>
  </si>
  <si>
    <t>New York</t>
  </si>
  <si>
    <t>Pennsylvania</t>
  </si>
  <si>
    <t>Illinois</t>
  </si>
  <si>
    <t>Indiana</t>
  </si>
  <si>
    <t>Michigan</t>
  </si>
  <si>
    <t>Ohio</t>
  </si>
  <si>
    <t>Wisconsin</t>
  </si>
  <si>
    <t>Iowa</t>
  </si>
  <si>
    <t>Kansas</t>
  </si>
  <si>
    <t>Minnesota</t>
  </si>
  <si>
    <t>Missouri</t>
  </si>
  <si>
    <t>Nebraska</t>
  </si>
  <si>
    <t>North Dakota</t>
  </si>
  <si>
    <t>South Dakota</t>
  </si>
  <si>
    <t>Delaware</t>
  </si>
  <si>
    <t>District of Columbia</t>
  </si>
  <si>
    <t>Florida</t>
  </si>
  <si>
    <t>Georgia</t>
  </si>
  <si>
    <t>Maryland</t>
  </si>
  <si>
    <t>North Carolina</t>
  </si>
  <si>
    <t>South Carolina</t>
  </si>
  <si>
    <t>Virginia</t>
  </si>
  <si>
    <t>West Virginia</t>
  </si>
  <si>
    <t>Alabama</t>
  </si>
  <si>
    <t>Kentucky</t>
  </si>
  <si>
    <t>Mississippi</t>
  </si>
  <si>
    <t>Tennessee</t>
  </si>
  <si>
    <t>Arkansas</t>
  </si>
  <si>
    <t>Louisiana</t>
  </si>
  <si>
    <t>Oklahoma</t>
  </si>
  <si>
    <t>Texas</t>
  </si>
  <si>
    <t>Arizona</t>
  </si>
  <si>
    <t>Colorado</t>
  </si>
  <si>
    <t>Idaho</t>
  </si>
  <si>
    <t>Montana</t>
  </si>
  <si>
    <t>Nevada</t>
  </si>
  <si>
    <t>New Mexico</t>
  </si>
  <si>
    <t>Utah</t>
  </si>
  <si>
    <t>Wyoming</t>
  </si>
  <si>
    <t>California</t>
  </si>
  <si>
    <t>Oregon</t>
  </si>
  <si>
    <t>Washington</t>
  </si>
  <si>
    <t>Alaska</t>
  </si>
  <si>
    <t>Hawaii</t>
  </si>
  <si>
    <t>Residential</t>
  </si>
  <si>
    <t>Commercial</t>
  </si>
  <si>
    <t>Y</t>
  </si>
  <si>
    <t>EPA 2006</t>
  </si>
  <si>
    <t>Electricity Emissions Factor</t>
  </si>
  <si>
    <t>Without PM</t>
  </si>
  <si>
    <t>Wtg Avg</t>
  </si>
  <si>
    <t>idle</t>
  </si>
  <si>
    <t>sleep</t>
  </si>
  <si>
    <t>off</t>
  </si>
  <si>
    <t>With PM</t>
  </si>
  <si>
    <t>Time</t>
  </si>
  <si>
    <t>Activity</t>
  </si>
  <si>
    <t>Computer in use?</t>
  </si>
  <si>
    <t>Time On</t>
  </si>
  <si>
    <t>Time Sleep</t>
  </si>
  <si>
    <t>Power on</t>
  </si>
  <si>
    <t>Check email</t>
  </si>
  <si>
    <t>Telephone calls</t>
  </si>
  <si>
    <t>Check e-mail</t>
  </si>
  <si>
    <t>Meeting</t>
  </si>
  <si>
    <t>Draft paper</t>
  </si>
  <si>
    <t>Walk-in meeting</t>
  </si>
  <si>
    <t>Lunch</t>
  </si>
  <si>
    <t>Computer Work</t>
  </si>
  <si>
    <t>Telephone Call</t>
  </si>
  <si>
    <t>Non-computer work</t>
  </si>
  <si>
    <t>Read</t>
  </si>
  <si>
    <t>Clean up</t>
  </si>
  <si>
    <t>Shut Down</t>
  </si>
  <si>
    <t>Totals (Min)</t>
  </si>
  <si>
    <t>% Sleep</t>
  </si>
  <si>
    <t>Setting</t>
  </si>
  <si>
    <t>Monitor</t>
  </si>
  <si>
    <t>Computer</t>
  </si>
  <si>
    <t>Always On Hr/yr</t>
  </si>
  <si>
    <t>Always Off Hr/yr</t>
  </si>
  <si>
    <t>(Based on surveys performed by The Cadmus Group, an ENERGY STAR technical support contractor.)</t>
  </si>
  <si>
    <t xml:space="preserve">The number of minutes of inactivity prior to standby or hiberate modes is used to estimate the total time a machine spends in low power modes.  </t>
  </si>
  <si>
    <t>National Average</t>
  </si>
  <si>
    <t>COMPUTERS</t>
  </si>
  <si>
    <t>NOTEBOOKS</t>
  </si>
  <si>
    <t>Screens</t>
  </si>
  <si>
    <t>Power Distribution of Notebook</t>
  </si>
  <si>
    <t>Display</t>
  </si>
  <si>
    <t>Assumed</t>
  </si>
  <si>
    <t>DESKTOPS</t>
  </si>
  <si>
    <t>Displays/Screens:</t>
  </si>
  <si>
    <r>
      <t>Annual CO</t>
    </r>
    <r>
      <rPr>
        <vertAlign val="subscript"/>
        <sz val="10"/>
        <color indexed="9"/>
        <rFont val="Univers"/>
        <family val="2"/>
      </rPr>
      <t>2</t>
    </r>
    <r>
      <rPr>
        <sz val="10"/>
        <color indexed="9"/>
        <rFont val="Univers"/>
        <family val="2"/>
      </rPr>
      <t xml:space="preserve"> sequestration per forested acre</t>
    </r>
  </si>
  <si>
    <r>
      <t>Annual CO</t>
    </r>
    <r>
      <rPr>
        <vertAlign val="subscript"/>
        <sz val="10"/>
        <color indexed="9"/>
        <rFont val="Univers"/>
        <family val="2"/>
      </rPr>
      <t>2</t>
    </r>
    <r>
      <rPr>
        <sz val="10"/>
        <color indexed="9"/>
        <rFont val="Univers"/>
        <family val="2"/>
      </rPr>
      <t xml:space="preserve"> emissions for "average" passenger car</t>
    </r>
  </si>
  <si>
    <t>Savings from notebook displays going into sleep mode:</t>
  </si>
  <si>
    <t>A real discount rate of 4 percent is assumed, which is roughly equivalent to the nominal discount rate of 7 percent (4 percent real discount rate + 3 percent inflation rate).</t>
  </si>
  <si>
    <r>
      <t xml:space="preserve">Instructions: </t>
    </r>
    <r>
      <rPr>
        <i/>
        <sz val="9"/>
        <rFont val="Arial"/>
        <family val="2"/>
      </rPr>
      <t>Enter information about your organization.</t>
    </r>
  </si>
  <si>
    <t>What power management settings?</t>
  </si>
  <si>
    <t>How are your PCs used?</t>
  </si>
  <si>
    <t>3-Year Totals</t>
  </si>
  <si>
    <t xml:space="preserve">Acres of trees planted </t>
  </si>
  <si>
    <t xml:space="preserve">Number of cars removed </t>
  </si>
  <si>
    <t>**Default of 36% as the percentage of computers turned off each night is based upon 2004 Lawrence Berkeley National Lab Report entitled "After-hours Power Status of Office Equipment and Inventory of Miscellaneous Plug-Load Equipment"</t>
  </si>
  <si>
    <t xml:space="preserve">EPA’s GHG Equivalencies Calculator http://www.epa.gov/cleanenergy/energy-resources/calculator.html </t>
  </si>
  <si>
    <r>
      <t xml:space="preserve">After completing this page, click the </t>
    </r>
    <r>
      <rPr>
        <b/>
        <sz val="10"/>
        <color indexed="17"/>
        <rFont val="Arial"/>
        <family val="2"/>
      </rPr>
      <t>green "Results" tab</t>
    </r>
    <r>
      <rPr>
        <b/>
        <sz val="10"/>
        <rFont val="Arial"/>
        <family val="2"/>
      </rPr>
      <t xml:space="preserve"> below to view your estimated savings OR use the other </t>
    </r>
    <r>
      <rPr>
        <b/>
        <sz val="10"/>
        <color indexed="10"/>
        <rFont val="Arial"/>
        <family val="2"/>
      </rPr>
      <t>red "Adjust" tabs</t>
    </r>
    <r>
      <rPr>
        <b/>
        <sz val="10"/>
        <rFont val="Arial"/>
        <family val="2"/>
      </rPr>
      <t xml:space="preserve"> below to perform customized calculations specific to your environment.</t>
    </r>
  </si>
  <si>
    <r>
      <t xml:space="preserve">After completing this page, click the </t>
    </r>
    <r>
      <rPr>
        <b/>
        <sz val="10"/>
        <color indexed="17"/>
        <rFont val="Arial"/>
        <family val="2"/>
      </rPr>
      <t xml:space="preserve">green "Results" tab </t>
    </r>
    <r>
      <rPr>
        <b/>
        <sz val="10"/>
        <rFont val="Arial"/>
        <family val="2"/>
      </rPr>
      <t xml:space="preserve">below to view your estimated savings OR use the other </t>
    </r>
    <r>
      <rPr>
        <b/>
        <sz val="10"/>
        <color indexed="10"/>
        <rFont val="Arial"/>
        <family val="2"/>
      </rPr>
      <t>red "Adjust" tabs</t>
    </r>
    <r>
      <rPr>
        <b/>
        <sz val="10"/>
        <rFont val="Arial"/>
        <family val="2"/>
      </rPr>
      <t xml:space="preserve"> below to perform customized calculations specific to your environment.</t>
    </r>
  </si>
  <si>
    <t>How much power do monitors and computers use?</t>
  </si>
  <si>
    <t>Watts</t>
  </si>
  <si>
    <t>Desktop Monitors:</t>
  </si>
  <si>
    <t>Desktop Computers:</t>
  </si>
  <si>
    <t>Desktop Monitor</t>
  </si>
  <si>
    <t>Notebook Display</t>
  </si>
  <si>
    <t>Power Consumption (Watts)</t>
  </si>
  <si>
    <t xml:space="preserve">Hours/Year </t>
  </si>
  <si>
    <t>Notebook Total</t>
  </si>
  <si>
    <t>Desktop Computer</t>
  </si>
  <si>
    <t>Notebook Computer</t>
  </si>
  <si>
    <t>% Turned On at Night</t>
  </si>
  <si>
    <t>% Turned Off at Night</t>
  </si>
  <si>
    <t>idle w/o PM</t>
  </si>
  <si>
    <t>sleep w/o PM</t>
  </si>
  <si>
    <t>off w/o PM</t>
  </si>
  <si>
    <t>idle with PM</t>
  </si>
  <si>
    <t>sleep with PM</t>
  </si>
  <si>
    <t>off with PM</t>
  </si>
  <si>
    <t>Watt - Hours</t>
  </si>
  <si>
    <t xml:space="preserve">Key Assumptions </t>
  </si>
  <si>
    <t>https://www.energystar.gov/sites/default/files/FINAL%20Version%206.1%20Computer%20Program%20Requirements%20%28Rev%20Oct-2014%29.pdf</t>
  </si>
  <si>
    <r>
      <t>Instructions:</t>
    </r>
    <r>
      <rPr>
        <i/>
        <sz val="9"/>
        <rFont val="Arial"/>
        <family val="2"/>
      </rPr>
      <t xml:space="preserve"> Enter the settings you intend to use on monitors and computers.  The defaults are set to 15 minutes for monitors/displays and 30 minutes for computers.*    The lower the setting, the more energy you save.  </t>
    </r>
  </si>
  <si>
    <t>$0.1032</t>
  </si>
  <si>
    <t>$0.1232</t>
  </si>
  <si>
    <t>- National average: US Department of Energy, Annual Energy Outlook 2014 (Early Release edition), (converted from 2012 to 2013 dollars)</t>
  </si>
  <si>
    <t>- State rates: US Department of Energy, Electric Power Monthly, Table 5.6B</t>
  </si>
  <si>
    <t>Percentage Turned Off</t>
  </si>
  <si>
    <t>Source of Electricity Rates:</t>
  </si>
  <si>
    <t>Conversions</t>
  </si>
  <si>
    <t>lbs CO2/kWh</t>
  </si>
  <si>
    <t>EPA data book</t>
  </si>
  <si>
    <t>lbs. CO2 /acre/yr.</t>
  </si>
  <si>
    <t>lbs CO2/car/yr.</t>
  </si>
  <si>
    <t>FHWA (2013). Highway Statistics 2011. Office of Highway Policy Information, Federal Highway Administration. Table VM-1.</t>
  </si>
  <si>
    <r>
      <t>Instructions:</t>
    </r>
    <r>
      <rPr>
        <i/>
        <sz val="9"/>
        <rFont val="Arial"/>
        <family val="2"/>
      </rPr>
      <t xml:space="preserve"> Enter the amount of power your desktops and notebooks consume in sleep and idle mode.  The values used are for a typical business computer. * </t>
    </r>
  </si>
  <si>
    <t>Desktop computers:</t>
  </si>
  <si>
    <t>Idle (27.11 watts); Sleep (1.8 watts); Shut Off (0.81 watts)</t>
  </si>
  <si>
    <t>Idle (8.61 watts); Sleep (0.89 watts); Shut Off (0.46 watts)</t>
  </si>
  <si>
    <t>Idle (22.8 watts); Sleep (0.5 watts); Shut Off (0.5 watts)</t>
  </si>
  <si>
    <t xml:space="preserve">*Computers that have the ENERGY STAR label use less energy, as shown below (from Nov 2014 version of ES offiice equipment calculator): </t>
  </si>
  <si>
    <t>Notebooks (both display and computer)**</t>
  </si>
  <si>
    <t>Notebook (both display/computer):</t>
  </si>
  <si>
    <t>Savings from notebook computers going into sleep mode:</t>
  </si>
  <si>
    <t>Savings from desktop computers going into sleep mode:</t>
  </si>
  <si>
    <t>Total savings :</t>
  </si>
  <si>
    <t>Total savings from computer sleep mode:</t>
  </si>
  <si>
    <t>Total savings from monitor/display sleep mode:</t>
  </si>
  <si>
    <t>Savings from desktop monitors going into sleep mode:</t>
  </si>
  <si>
    <t>Annual Savings</t>
  </si>
  <si>
    <t>Energy (kWh)</t>
  </si>
  <si>
    <t>Dollars ($)</t>
  </si>
  <si>
    <t>$ Dollar Savings</t>
  </si>
  <si>
    <t xml:space="preserve">EPA (2012). Inventory of U.S. Greenhouse Gas Emissions and Sinks: 1990-2010. U.S. Environmental Protection Agency, Washington, DC. U.S. EPA #430-R-12-001 </t>
  </si>
  <si>
    <t>* Most likely desktop monitors and notebooks have power management features enabled.</t>
  </si>
  <si>
    <t>Pollution Prevention Equivalents:</t>
  </si>
  <si>
    <t>Tons of CO2 Emissions Prevented</t>
  </si>
  <si>
    <t>Minutes</t>
  </si>
  <si>
    <t>View Results or Refine</t>
  </si>
  <si>
    <t>Number of Devices with Power Management Features Enabled*</t>
  </si>
  <si>
    <r>
      <rPr>
        <b/>
        <sz val="10"/>
        <rFont val="Arial"/>
        <family val="2"/>
      </rPr>
      <t>1)</t>
    </r>
    <r>
      <rPr>
        <sz val="10"/>
        <color indexed="10"/>
        <rFont val="Arial"/>
        <family val="2"/>
      </rPr>
      <t xml:space="preserve"> Enter the number of desktop computers  </t>
    </r>
  </si>
  <si>
    <r>
      <rPr>
        <b/>
        <sz val="10"/>
        <rFont val="Arial"/>
        <family val="2"/>
      </rPr>
      <t>2)</t>
    </r>
    <r>
      <rPr>
        <sz val="10"/>
        <color indexed="10"/>
        <rFont val="Arial"/>
        <family val="2"/>
      </rPr>
      <t xml:space="preserve"> Enter the number of desktop monitors  </t>
    </r>
  </si>
  <si>
    <r>
      <rPr>
        <b/>
        <sz val="10"/>
        <rFont val="Arial"/>
        <family val="2"/>
      </rPr>
      <t>3)</t>
    </r>
    <r>
      <rPr>
        <sz val="10"/>
        <rFont val="Arial"/>
        <family val="2"/>
      </rPr>
      <t xml:space="preserve"> </t>
    </r>
    <r>
      <rPr>
        <sz val="10"/>
        <color indexed="10"/>
        <rFont val="Arial"/>
        <family val="2"/>
      </rPr>
      <t xml:space="preserve">Enter the number of notebook computers  </t>
    </r>
  </si>
  <si>
    <r>
      <rPr>
        <b/>
        <sz val="10"/>
        <rFont val="Arial"/>
        <family val="2"/>
      </rPr>
      <t>4)</t>
    </r>
    <r>
      <rPr>
        <sz val="10"/>
        <color indexed="10"/>
        <rFont val="Arial"/>
        <family val="2"/>
      </rPr>
      <t xml:space="preserve"> Enter the number of notebook displays  </t>
    </r>
  </si>
  <si>
    <r>
      <rPr>
        <b/>
        <sz val="10"/>
        <rFont val="Arial"/>
        <family val="2"/>
      </rPr>
      <t>8)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VIEW RESULTS:</t>
    </r>
    <r>
      <rPr>
        <sz val="10"/>
        <rFont val="Arial"/>
        <family val="2"/>
      </rPr>
      <t xml:space="preserve"> Click on the</t>
    </r>
    <r>
      <rPr>
        <sz val="10"/>
        <color rgb="FF00B050"/>
        <rFont val="Arial"/>
        <family val="2"/>
      </rPr>
      <t xml:space="preserve"> </t>
    </r>
    <r>
      <rPr>
        <b/>
        <sz val="10"/>
        <color rgb="FF00B050"/>
        <rFont val="Arial"/>
        <family val="2"/>
      </rPr>
      <t>green"Results" tab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below to see your savings.</t>
    </r>
  </si>
  <si>
    <r>
      <rPr>
        <b/>
        <sz val="10"/>
        <rFont val="Arial"/>
        <family val="2"/>
      </rPr>
      <t>5)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ELECTRICITY COST:</t>
    </r>
    <r>
      <rPr>
        <sz val="10"/>
        <rFont val="Arial"/>
        <family val="2"/>
      </rPr>
      <t xml:space="preserve"> Select your state (or use the national average) and specify commercial or residential service: an electricity rate ($/kWh) will be displayed in the yellow box.  If you prefer, you can enter your own electricity rate in the yellow box.</t>
    </r>
  </si>
  <si>
    <r>
      <rPr>
        <b/>
        <sz val="10"/>
        <rFont val="Arial"/>
        <family val="2"/>
      </rPr>
      <t>6) TURN OFF RATE:</t>
    </r>
    <r>
      <rPr>
        <sz val="10"/>
        <rFont val="Arial"/>
        <family val="2"/>
      </rPr>
      <t xml:space="preserve"> Select your best estimate of the percentage of computers that users turn off manually each night.**</t>
    </r>
  </si>
  <si>
    <r>
      <rPr>
        <b/>
        <sz val="10"/>
        <rFont val="Arial"/>
        <family val="2"/>
      </rPr>
      <t>7)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OPTIONAL:</t>
    </r>
    <r>
      <rPr>
        <sz val="10"/>
        <rFont val="Arial"/>
        <family val="2"/>
      </rPr>
      <t xml:space="preserve"> You can adjust the default sleep settings, device power draw, and computer usage patterns via the </t>
    </r>
    <r>
      <rPr>
        <b/>
        <sz val="10"/>
        <color rgb="FFFF0000"/>
        <rFont val="Arial"/>
        <family val="2"/>
      </rPr>
      <t>red "Adjust" tabs</t>
    </r>
    <r>
      <rPr>
        <sz val="10"/>
        <rFont val="Arial"/>
        <family val="2"/>
      </rPr>
      <t xml:space="preserve"> below.</t>
    </r>
  </si>
  <si>
    <t>**Enter 0% if no one turns their computer off at night, or 100% if everyone shuts down their computer each night.  Note that savings attibutable to computer power management features will drop as more people shut down their computers manually each night.</t>
  </si>
  <si>
    <t>1) Monitors enter low-power sleep mode after how many minutes of inactivity?</t>
  </si>
  <si>
    <t>2) Computers enter system standby or hibernate mode after how many minutes of inactivity?</t>
  </si>
  <si>
    <t>3) Displays enter low-power sleep mode after how many minutes of inactivity?</t>
  </si>
  <si>
    <t>4) Computers enter system standby or hibernate mode after how many minutes of inactivity?</t>
  </si>
  <si>
    <t xml:space="preserve">1) Enter the power consumed in idle mode </t>
  </si>
  <si>
    <t>2) Enter the power consumed  in sleep mode</t>
  </si>
  <si>
    <t>3) Enter the power consumed  when shut off</t>
  </si>
  <si>
    <t>4) Enter the power consumed  in idle mode</t>
  </si>
  <si>
    <t xml:space="preserve">5) Enter the power consumed in sleep mode </t>
  </si>
  <si>
    <t>6) Enter the power consumed  when shut off</t>
  </si>
  <si>
    <t>7) Enter the power consumed idle mode</t>
  </si>
  <si>
    <t>8) Enter the power consumed in sleep mode</t>
  </si>
  <si>
    <t>9) Enter the power consumed  when shut off</t>
  </si>
  <si>
    <t>**Notebook power consumption assumes 50% of overall power is used to power the computer and 50% to power the display</t>
  </si>
  <si>
    <t xml:space="preserve">*15 and 30 minutes is based upon required settings for ENERGY STAR certified computers: </t>
  </si>
  <si>
    <r>
      <t xml:space="preserve">1) How many </t>
    </r>
    <r>
      <rPr>
        <b/>
        <sz val="10"/>
        <rFont val="Arial"/>
        <family val="2"/>
      </rPr>
      <t>hours</t>
    </r>
    <r>
      <rPr>
        <sz val="10"/>
        <rFont val="Arial"/>
        <family val="2"/>
      </rPr>
      <t xml:space="preserve"> in a typical workday in your organization?</t>
    </r>
  </si>
  <si>
    <r>
      <t xml:space="preserve">2) How many </t>
    </r>
    <r>
      <rPr>
        <b/>
        <sz val="10"/>
        <rFont val="Arial"/>
        <family val="2"/>
      </rPr>
      <t>days</t>
    </r>
    <r>
      <rPr>
        <sz val="10"/>
        <rFont val="Arial"/>
        <family val="2"/>
      </rPr>
      <t xml:space="preserve"> in a typical work week in your organization?</t>
    </r>
  </si>
  <si>
    <r>
      <t>3) How many</t>
    </r>
    <r>
      <rPr>
        <b/>
        <sz val="10"/>
        <rFont val="Arial"/>
        <family val="2"/>
      </rPr>
      <t xml:space="preserve"> non-working days per year</t>
    </r>
    <r>
      <rPr>
        <sz val="10"/>
        <rFont val="Arial"/>
        <family val="2"/>
      </rPr>
      <t xml:space="preserve"> are typical for your organization?  E.g., vacation days, sick days, holidays, etc.?</t>
    </r>
  </si>
  <si>
    <r>
      <t xml:space="preserve">4) What </t>
    </r>
    <r>
      <rPr>
        <b/>
        <sz val="10"/>
        <rFont val="Arial"/>
        <family val="2"/>
      </rPr>
      <t xml:space="preserve">(real) discount rate </t>
    </r>
    <r>
      <rPr>
        <sz val="10"/>
        <rFont val="Arial"/>
        <family val="2"/>
      </rPr>
      <t>do you want to use in calculating 3-years savings?</t>
    </r>
  </si>
  <si>
    <t>Power draws from the Nov 2014 version of the ES office equipment calculator located at www.energystar.gov/purchasing.</t>
  </si>
  <si>
    <r>
      <rPr>
        <b/>
        <i/>
        <sz val="10"/>
        <rFont val="Arial"/>
        <family val="2"/>
      </rPr>
      <t>Instructions</t>
    </r>
    <r>
      <rPr>
        <i/>
        <sz val="10"/>
        <rFont val="Arial"/>
        <family val="2"/>
      </rPr>
      <t xml:space="preserve">: Use this simple calculator to estimate typical savings from activating power management features that automatically place computers into a low-power "sleep" mode after a period of inactivity </t>
    </r>
    <r>
      <rPr>
        <i/>
        <sz val="10"/>
        <color rgb="FFFF0000"/>
        <rFont val="Arial"/>
        <family val="2"/>
      </rPr>
      <t>(required fields in red)</t>
    </r>
    <r>
      <rPr>
        <i/>
        <sz val="10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</si>
</sst>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"/>
    <numFmt numFmtId="166" formatCode="0.000"/>
    <numFmt numFmtId="167" formatCode="0.0%"/>
    <numFmt numFmtId="168" formatCode="_(* #,##0.0_);_(* \(#,##0.0\);_(* &quot;-&quot;??_);_(@_)"/>
    <numFmt numFmtId="169" formatCode="_(* #,##0_);_(* \(#,##0\);_(* &quot;-&quot;??_);_(@_)"/>
    <numFmt numFmtId="170" formatCode="&quot;$&quot;#,##0.0000"/>
  </numFmts>
  <fonts count="6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0"/>
      <color indexed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6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9"/>
      <name val="Univers"/>
      <family val="2"/>
    </font>
    <font>
      <sz val="10"/>
      <color indexed="10"/>
      <name val="Arial"/>
      <family val="2"/>
    </font>
    <font>
      <sz val="10"/>
      <color indexed="10"/>
      <name val="Univers"/>
      <family val="2"/>
    </font>
    <font>
      <b/>
      <sz val="10"/>
      <color indexed="10"/>
      <name val="Univers"/>
      <family val="2"/>
    </font>
    <font>
      <sz val="11"/>
      <color indexed="10"/>
      <name val="Univers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4"/>
      <name val="Arial"/>
      <family val="2"/>
    </font>
    <font>
      <b/>
      <sz val="14"/>
      <color indexed="9"/>
      <name val="Arial"/>
      <family val="2"/>
    </font>
    <font>
      <b/>
      <i/>
      <sz val="11"/>
      <name val="Arial"/>
      <family val="2"/>
    </font>
    <font>
      <vertAlign val="subscript"/>
      <sz val="10"/>
      <color indexed="9"/>
      <name val="Univers"/>
      <family val="2"/>
    </font>
    <font>
      <b/>
      <i/>
      <sz val="12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9"/>
      <name val="Univers"/>
      <family val="2"/>
    </font>
    <font>
      <sz val="8"/>
      <color indexed="10"/>
      <name val="Arial"/>
      <family val="2"/>
    </font>
    <font>
      <sz val="7"/>
      <color indexed="10"/>
      <name val="Arial"/>
      <family val="2"/>
    </font>
    <font>
      <sz val="7"/>
      <color indexed="10"/>
      <name val="Times New Roman"/>
      <family val="1"/>
    </font>
    <font>
      <sz val="14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9"/>
      <color indexed="10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Univers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9"/>
      <name val="Univers"/>
      <family val="2"/>
    </font>
    <font>
      <i/>
      <sz val="14"/>
      <color indexed="10"/>
      <name val="Arial"/>
      <family val="2"/>
    </font>
    <font>
      <b/>
      <sz val="10"/>
      <color indexed="17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Univers"/>
      <family val="2"/>
    </font>
    <font>
      <sz val="11"/>
      <color rgb="FF9C6500"/>
      <name val="Calibri"/>
      <family val="2"/>
      <scheme val="minor"/>
    </font>
    <font>
      <u/>
      <sz val="10"/>
      <color theme="10"/>
      <name val="Arial"/>
      <family val="2"/>
    </font>
    <font>
      <u/>
      <sz val="9"/>
      <color theme="10"/>
      <name val="Arial"/>
      <family val="2"/>
    </font>
    <font>
      <sz val="9"/>
      <color theme="1"/>
      <name val="Calibri"/>
      <family val="2"/>
      <scheme val="minor"/>
    </font>
    <font>
      <sz val="9"/>
      <color rgb="FFFF0000"/>
      <name val="Arial"/>
      <family val="2"/>
    </font>
    <font>
      <b/>
      <sz val="8"/>
      <name val="Arial"/>
      <family val="2"/>
    </font>
    <font>
      <sz val="8"/>
      <name val="Univers"/>
      <family val="2"/>
    </font>
    <font>
      <sz val="10"/>
      <color rgb="FF00B05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0"/>
      <color rgb="FF00B050"/>
      <name val="Arial"/>
      <family val="2"/>
    </font>
    <font>
      <i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43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0" fontId="56" fillId="0" borderId="0" applyNumberForma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5" fillId="6" borderId="0" applyNumberFormat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</cellStyleXfs>
  <cellXfs count="302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 applyAlignment="1">
      <alignment horizontal="center" wrapText="1"/>
    </xf>
    <xf numFmtId="0" fontId="5" fillId="0" borderId="0" xfId="2" applyFont="1" applyBorder="1" applyAlignment="1" applyProtection="1">
      <alignment horizontal="left" wrapText="1"/>
    </xf>
    <xf numFmtId="0" fontId="0" fillId="0" borderId="0" xfId="0" applyBorder="1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Alignment="1">
      <alignment wrapText="1"/>
    </xf>
    <xf numFmtId="0" fontId="8" fillId="0" borderId="0" xfId="0" applyFont="1" applyFill="1" applyBorder="1" applyAlignment="1"/>
    <xf numFmtId="0" fontId="0" fillId="0" borderId="2" xfId="0" applyBorder="1" applyAlignment="1">
      <alignment wrapText="1"/>
    </xf>
    <xf numFmtId="0" fontId="0" fillId="0" borderId="5" xfId="0" applyBorder="1"/>
    <xf numFmtId="0" fontId="7" fillId="0" borderId="1" xfId="0" applyFont="1" applyBorder="1" applyAlignment="1">
      <alignment horizontal="right"/>
    </xf>
    <xf numFmtId="0" fontId="13" fillId="0" borderId="0" xfId="0" applyFont="1"/>
    <xf numFmtId="0" fontId="11" fillId="0" borderId="0" xfId="0" applyFont="1"/>
    <xf numFmtId="0" fontId="3" fillId="0" borderId="0" xfId="0" applyFont="1"/>
    <xf numFmtId="0" fontId="6" fillId="0" borderId="0" xfId="0" applyFont="1"/>
    <xf numFmtId="0" fontId="15" fillId="0" borderId="0" xfId="0" applyFont="1"/>
    <xf numFmtId="0" fontId="0" fillId="0" borderId="0" xfId="0" applyAlignment="1"/>
    <xf numFmtId="0" fontId="18" fillId="0" borderId="0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center"/>
    </xf>
    <xf numFmtId="3" fontId="18" fillId="0" borderId="0" xfId="0" applyNumberFormat="1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/>
    </xf>
    <xf numFmtId="0" fontId="0" fillId="0" borderId="0" xfId="0" applyFill="1"/>
    <xf numFmtId="0" fontId="15" fillId="0" borderId="6" xfId="3" applyBorder="1"/>
    <xf numFmtId="0" fontId="3" fillId="0" borderId="6" xfId="3" applyFont="1" applyBorder="1" applyAlignment="1">
      <alignment horizontal="left"/>
    </xf>
    <xf numFmtId="0" fontId="3" fillId="0" borderId="7" xfId="3" applyFont="1" applyBorder="1" applyAlignment="1">
      <alignment horizontal="center"/>
    </xf>
    <xf numFmtId="0" fontId="15" fillId="0" borderId="0" xfId="3"/>
    <xf numFmtId="0" fontId="3" fillId="0" borderId="6" xfId="3" applyFont="1" applyBorder="1"/>
    <xf numFmtId="0" fontId="3" fillId="0" borderId="6" xfId="3" applyFont="1" applyBorder="1" applyAlignment="1">
      <alignment horizontal="center"/>
    </xf>
    <xf numFmtId="0" fontId="3" fillId="0" borderId="6" xfId="3" applyFont="1" applyBorder="1" applyAlignment="1">
      <alignment horizontal="left" wrapText="1"/>
    </xf>
    <xf numFmtId="0" fontId="3" fillId="0" borderId="8" xfId="3" applyFont="1" applyBorder="1" applyAlignment="1">
      <alignment horizontal="center"/>
    </xf>
    <xf numFmtId="0" fontId="3" fillId="0" borderId="9" xfId="3" applyFont="1" applyBorder="1" applyAlignment="1">
      <alignment horizontal="center"/>
    </xf>
    <xf numFmtId="20" fontId="15" fillId="0" borderId="6" xfId="3" applyNumberFormat="1" applyBorder="1"/>
    <xf numFmtId="0" fontId="15" fillId="0" borderId="6" xfId="3" applyBorder="1" applyAlignment="1">
      <alignment horizontal="left"/>
    </xf>
    <xf numFmtId="0" fontId="15" fillId="0" borderId="6" xfId="3" applyBorder="1" applyAlignment="1">
      <alignment horizontal="center"/>
    </xf>
    <xf numFmtId="22" fontId="15" fillId="0" borderId="6" xfId="3" applyNumberFormat="1" applyBorder="1"/>
    <xf numFmtId="0" fontId="15" fillId="0" borderId="10" xfId="3" applyFill="1" applyBorder="1" applyAlignment="1">
      <alignment horizontal="left"/>
    </xf>
    <xf numFmtId="0" fontId="15" fillId="2" borderId="6" xfId="3" applyFill="1" applyBorder="1" applyAlignment="1">
      <alignment horizontal="center"/>
    </xf>
    <xf numFmtId="0" fontId="15" fillId="0" borderId="11" xfId="3" applyFill="1" applyBorder="1" applyAlignment="1">
      <alignment horizontal="left"/>
    </xf>
    <xf numFmtId="0" fontId="15" fillId="0" borderId="0" xfId="3" applyAlignment="1">
      <alignment horizontal="center"/>
    </xf>
    <xf numFmtId="0" fontId="15" fillId="2" borderId="6" xfId="3" applyFill="1" applyBorder="1" applyAlignment="1">
      <alignment horizontal="left" wrapText="1"/>
    </xf>
    <xf numFmtId="9" fontId="15" fillId="2" borderId="12" xfId="3" applyNumberFormat="1" applyFill="1" applyBorder="1" applyAlignment="1">
      <alignment wrapText="1"/>
    </xf>
    <xf numFmtId="9" fontId="15" fillId="0" borderId="13" xfId="3" applyNumberFormat="1" applyBorder="1" applyAlignment="1">
      <alignment wrapText="1"/>
    </xf>
    <xf numFmtId="0" fontId="15" fillId="0" borderId="0" xfId="3" applyAlignment="1">
      <alignment horizontal="left"/>
    </xf>
    <xf numFmtId="0" fontId="12" fillId="0" borderId="0" xfId="0" applyFont="1" applyAlignment="1">
      <alignment wrapText="1"/>
    </xf>
    <xf numFmtId="0" fontId="22" fillId="0" borderId="0" xfId="0" applyFont="1"/>
    <xf numFmtId="0" fontId="14" fillId="0" borderId="5" xfId="0" applyFont="1" applyBorder="1"/>
    <xf numFmtId="0" fontId="6" fillId="0" borderId="0" xfId="0" applyFont="1" applyFill="1"/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14" fillId="0" borderId="0" xfId="3" applyFont="1" applyAlignment="1">
      <alignment horizontal="center"/>
    </xf>
    <xf numFmtId="0" fontId="14" fillId="0" borderId="0" xfId="0" applyFont="1"/>
    <xf numFmtId="1" fontId="0" fillId="0" borderId="0" xfId="0" applyNumberFormat="1"/>
    <xf numFmtId="0" fontId="24" fillId="0" borderId="0" xfId="0" applyFont="1"/>
    <xf numFmtId="9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/>
    </xf>
    <xf numFmtId="1" fontId="17" fillId="0" borderId="0" xfId="0" applyNumberFormat="1" applyFont="1" applyFill="1" applyBorder="1" applyAlignment="1">
      <alignment horizontal="center"/>
    </xf>
    <xf numFmtId="3" fontId="18" fillId="0" borderId="6" xfId="1" applyNumberFormat="1" applyFont="1" applyFill="1" applyBorder="1" applyAlignment="1" applyProtection="1">
      <alignment horizontal="right" vertical="top"/>
    </xf>
    <xf numFmtId="0" fontId="0" fillId="3" borderId="20" xfId="0" applyFill="1" applyBorder="1" applyAlignment="1">
      <alignment horizontal="center"/>
    </xf>
    <xf numFmtId="0" fontId="0" fillId="0" borderId="17" xfId="0" applyBorder="1"/>
    <xf numFmtId="0" fontId="31" fillId="0" borderId="0" xfId="0" applyFont="1"/>
    <xf numFmtId="0" fontId="15" fillId="0" borderId="0" xfId="0" applyFont="1" applyBorder="1"/>
    <xf numFmtId="0" fontId="22" fillId="0" borderId="0" xfId="0" applyFont="1" applyBorder="1"/>
    <xf numFmtId="0" fontId="14" fillId="0" borderId="0" xfId="0" applyFont="1" applyBorder="1" applyAlignment="1">
      <alignment vertical="center" wrapText="1"/>
    </xf>
    <xf numFmtId="0" fontId="5" fillId="0" borderId="0" xfId="2" applyFill="1" applyBorder="1" applyAlignment="1" applyProtection="1"/>
    <xf numFmtId="0" fontId="31" fillId="0" borderId="0" xfId="0" applyFont="1" applyBorder="1" applyAlignment="1"/>
    <xf numFmtId="0" fontId="32" fillId="0" borderId="0" xfId="0" applyFont="1" applyFill="1" applyBorder="1" applyAlignment="1" applyProtection="1"/>
    <xf numFmtId="0" fontId="0" fillId="0" borderId="17" xfId="0" applyFill="1" applyBorder="1"/>
    <xf numFmtId="0" fontId="5" fillId="0" borderId="4" xfId="2" applyBorder="1" applyAlignment="1" applyProtection="1"/>
    <xf numFmtId="0" fontId="14" fillId="0" borderId="2" xfId="0" applyFont="1" applyBorder="1" applyAlignment="1">
      <alignment horizontal="center" wrapText="1"/>
    </xf>
    <xf numFmtId="10" fontId="0" fillId="0" borderId="2" xfId="0" applyNumberFormat="1" applyBorder="1"/>
    <xf numFmtId="0" fontId="14" fillId="0" borderId="4" xfId="0" applyFont="1" applyBorder="1" applyAlignment="1">
      <alignment vertical="center" wrapText="1"/>
    </xf>
    <xf numFmtId="0" fontId="0" fillId="0" borderId="2" xfId="0" applyFill="1" applyBorder="1"/>
    <xf numFmtId="0" fontId="0" fillId="0" borderId="19" xfId="0" applyBorder="1"/>
    <xf numFmtId="0" fontId="31" fillId="0" borderId="0" xfId="0" applyFont="1" applyFill="1" applyBorder="1"/>
    <xf numFmtId="0" fontId="5" fillId="0" borderId="1" xfId="2" applyBorder="1" applyAlignment="1" applyProtection="1">
      <alignment horizontal="left" indent="1"/>
    </xf>
    <xf numFmtId="0" fontId="31" fillId="0" borderId="4" xfId="0" applyFont="1" applyFill="1" applyBorder="1"/>
    <xf numFmtId="0" fontId="11" fillId="0" borderId="1" xfId="0" applyFont="1" applyBorder="1" applyAlignment="1">
      <alignment horizontal="right"/>
    </xf>
    <xf numFmtId="0" fontId="30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left" wrapText="1"/>
    </xf>
    <xf numFmtId="0" fontId="36" fillId="0" borderId="0" xfId="0" applyFont="1" applyAlignment="1">
      <alignment wrapText="1"/>
    </xf>
    <xf numFmtId="0" fontId="36" fillId="0" borderId="0" xfId="0" applyFont="1"/>
    <xf numFmtId="0" fontId="0" fillId="0" borderId="22" xfId="0" applyFill="1" applyBorder="1" applyAlignment="1">
      <alignment horizontal="center" vertical="center"/>
    </xf>
    <xf numFmtId="0" fontId="37" fillId="0" borderId="0" xfId="0" applyFont="1" applyAlignment="1"/>
    <xf numFmtId="0" fontId="37" fillId="0" borderId="0" xfId="0" applyFont="1" applyAlignment="1">
      <alignment horizontal="left" indent="2"/>
    </xf>
    <xf numFmtId="0" fontId="37" fillId="0" borderId="0" xfId="0" applyFont="1" applyAlignment="1">
      <alignment horizontal="left" indent="4"/>
    </xf>
    <xf numFmtId="0" fontId="39" fillId="0" borderId="0" xfId="0" applyFont="1"/>
    <xf numFmtId="0" fontId="21" fillId="0" borderId="0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3" fillId="0" borderId="0" xfId="0" applyFont="1" applyBorder="1" applyAlignment="1"/>
    <xf numFmtId="0" fontId="4" fillId="0" borderId="1" xfId="0" applyFont="1" applyBorder="1" applyAlignment="1">
      <alignment horizontal="right"/>
    </xf>
    <xf numFmtId="167" fontId="14" fillId="3" borderId="20" xfId="0" applyNumberFormat="1" applyFont="1" applyFill="1" applyBorder="1" applyAlignment="1" applyProtection="1">
      <alignment horizontal="center" vertical="center"/>
      <protection locked="0"/>
    </xf>
    <xf numFmtId="168" fontId="0" fillId="0" borderId="0" xfId="1" applyNumberFormat="1" applyFont="1" applyFill="1" applyBorder="1" applyAlignment="1">
      <alignment horizontal="right" wrapText="1"/>
    </xf>
    <xf numFmtId="168" fontId="0" fillId="0" borderId="18" xfId="1" applyNumberFormat="1" applyFont="1" applyFill="1" applyBorder="1" applyAlignment="1">
      <alignment horizontal="right" wrapText="1"/>
    </xf>
    <xf numFmtId="0" fontId="40" fillId="0" borderId="0" xfId="0" applyFont="1"/>
    <xf numFmtId="0" fontId="40" fillId="0" borderId="0" xfId="0" applyFont="1" applyFill="1" applyBorder="1" applyProtection="1"/>
    <xf numFmtId="0" fontId="41" fillId="0" borderId="0" xfId="0" applyFont="1" applyAlignment="1">
      <alignment horizontal="right"/>
    </xf>
    <xf numFmtId="0" fontId="42" fillId="0" borderId="0" xfId="0" applyFont="1"/>
    <xf numFmtId="0" fontId="2" fillId="0" borderId="0" xfId="0" applyFont="1"/>
    <xf numFmtId="0" fontId="37" fillId="0" borderId="0" xfId="0" applyFont="1"/>
    <xf numFmtId="4" fontId="43" fillId="0" borderId="0" xfId="1" applyNumberFormat="1" applyFont="1" applyFill="1" applyBorder="1" applyAlignment="1" applyProtection="1">
      <alignment horizontal="right" vertical="top"/>
    </xf>
    <xf numFmtId="164" fontId="0" fillId="0" borderId="0" xfId="0" applyNumberFormat="1" applyAlignment="1">
      <alignment wrapText="1"/>
    </xf>
    <xf numFmtId="1" fontId="0" fillId="3" borderId="2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3" borderId="20" xfId="0" applyNumberFormat="1" applyFill="1" applyBorder="1" applyAlignment="1">
      <alignment horizontal="center" vertical="center"/>
    </xf>
    <xf numFmtId="0" fontId="44" fillId="0" borderId="0" xfId="0" applyFont="1" applyBorder="1" applyAlignment="1">
      <alignment wrapText="1"/>
    </xf>
    <xf numFmtId="0" fontId="44" fillId="0" borderId="2" xfId="0" applyFont="1" applyBorder="1" applyAlignment="1">
      <alignment wrapText="1"/>
    </xf>
    <xf numFmtId="0" fontId="45" fillId="0" borderId="0" xfId="0" applyFont="1" applyAlignment="1">
      <alignment wrapText="1"/>
    </xf>
    <xf numFmtId="164" fontId="5" fillId="0" borderId="1" xfId="2" applyNumberFormat="1" applyBorder="1" applyAlignment="1" applyProtection="1">
      <alignment horizontal="left" indent="1"/>
    </xf>
    <xf numFmtId="0" fontId="42" fillId="0" borderId="0" xfId="0" applyFont="1" applyBorder="1" applyAlignment="1">
      <alignment wrapText="1"/>
    </xf>
    <xf numFmtId="0" fontId="46" fillId="0" borderId="0" xfId="0" applyFont="1" applyFill="1" applyBorder="1" applyProtection="1"/>
    <xf numFmtId="0" fontId="3" fillId="0" borderId="20" xfId="0" applyFont="1" applyBorder="1" applyAlignment="1">
      <alignment horizontal="center" vertical="center" wrapText="1"/>
    </xf>
    <xf numFmtId="0" fontId="5" fillId="0" borderId="0" xfId="0" applyFont="1"/>
    <xf numFmtId="0" fontId="27" fillId="0" borderId="0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9" fontId="50" fillId="0" borderId="0" xfId="0" applyNumberFormat="1" applyFont="1" applyFill="1" applyBorder="1" applyAlignment="1">
      <alignment horizontal="center" vertical="center" wrapText="1"/>
    </xf>
    <xf numFmtId="169" fontId="51" fillId="3" borderId="20" xfId="1" applyNumberFormat="1" applyFont="1" applyFill="1" applyBorder="1" applyAlignment="1">
      <alignment horizontal="center" vertical="center" wrapText="1"/>
    </xf>
    <xf numFmtId="0" fontId="50" fillId="0" borderId="0" xfId="0" applyFont="1" applyFill="1"/>
    <xf numFmtId="0" fontId="50" fillId="0" borderId="0" xfId="0" applyFont="1"/>
    <xf numFmtId="0" fontId="2" fillId="0" borderId="0" xfId="0" applyFont="1" applyBorder="1" applyAlignment="1">
      <alignment horizontal="left" wrapText="1"/>
    </xf>
    <xf numFmtId="0" fontId="54" fillId="0" borderId="6" xfId="0" applyFont="1" applyFill="1" applyBorder="1" applyAlignment="1" applyProtection="1">
      <alignment horizontal="center"/>
    </xf>
    <xf numFmtId="0" fontId="18" fillId="0" borderId="6" xfId="0" applyFont="1" applyFill="1" applyBorder="1" applyAlignment="1" applyProtection="1">
      <alignment horizontal="center"/>
    </xf>
    <xf numFmtId="1" fontId="12" fillId="0" borderId="6" xfId="0" applyNumberFormat="1" applyFont="1" applyBorder="1"/>
    <xf numFmtId="3" fontId="18" fillId="0" borderId="6" xfId="1" applyNumberFormat="1" applyFont="1" applyFill="1" applyBorder="1" applyAlignment="1" applyProtection="1">
      <alignment horizontal="center"/>
    </xf>
    <xf numFmtId="1" fontId="23" fillId="0" borderId="6" xfId="0" applyNumberFormat="1" applyFont="1" applyBorder="1" applyAlignment="1">
      <alignment horizontal="center"/>
    </xf>
    <xf numFmtId="0" fontId="18" fillId="0" borderId="6" xfId="0" applyFont="1" applyFill="1" applyBorder="1" applyProtection="1"/>
    <xf numFmtId="3" fontId="18" fillId="0" borderId="6" xfId="0" applyNumberFormat="1" applyFont="1" applyFill="1" applyBorder="1" applyProtection="1"/>
    <xf numFmtId="165" fontId="50" fillId="0" borderId="6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wrapText="1"/>
    </xf>
    <xf numFmtId="43" fontId="12" fillId="0" borderId="6" xfId="1" applyFont="1" applyFill="1" applyBorder="1"/>
    <xf numFmtId="43" fontId="23" fillId="0" borderId="6" xfId="1" applyFont="1" applyFill="1" applyBorder="1"/>
    <xf numFmtId="0" fontId="19" fillId="0" borderId="6" xfId="0" applyFont="1" applyFill="1" applyBorder="1" applyAlignment="1" applyProtection="1">
      <alignment horizontal="center"/>
    </xf>
    <xf numFmtId="3" fontId="18" fillId="0" borderId="6" xfId="0" applyNumberFormat="1" applyFont="1" applyFill="1" applyBorder="1" applyAlignment="1" applyProtection="1">
      <alignment horizontal="center"/>
    </xf>
    <xf numFmtId="1" fontId="19" fillId="0" borderId="6" xfId="0" applyNumberFormat="1" applyFont="1" applyFill="1" applyBorder="1" applyAlignment="1" applyProtection="1">
      <alignment horizontal="center"/>
    </xf>
    <xf numFmtId="0" fontId="21" fillId="5" borderId="6" xfId="0" applyFont="1" applyFill="1" applyBorder="1"/>
    <xf numFmtId="0" fontId="53" fillId="5" borderId="6" xfId="0" applyFont="1" applyFill="1" applyBorder="1" applyAlignment="1">
      <alignment horizontal="center"/>
    </xf>
    <xf numFmtId="0" fontId="21" fillId="5" borderId="6" xfId="0" applyFont="1" applyFill="1" applyBorder="1" applyAlignment="1">
      <alignment wrapText="1"/>
    </xf>
    <xf numFmtId="0" fontId="53" fillId="5" borderId="6" xfId="0" applyFont="1" applyFill="1" applyBorder="1"/>
    <xf numFmtId="0" fontId="19" fillId="5" borderId="6" xfId="0" applyFont="1" applyFill="1" applyBorder="1" applyAlignment="1" applyProtection="1">
      <alignment horizontal="left"/>
    </xf>
    <xf numFmtId="9" fontId="12" fillId="0" borderId="6" xfId="0" applyNumberFormat="1" applyFont="1" applyFill="1" applyBorder="1" applyAlignment="1" applyProtection="1">
      <alignment horizontal="center"/>
    </xf>
    <xf numFmtId="0" fontId="23" fillId="0" borderId="6" xfId="0" applyFont="1" applyBorder="1"/>
    <xf numFmtId="10" fontId="23" fillId="0" borderId="6" xfId="0" applyNumberFormat="1" applyFont="1" applyBorder="1" applyAlignment="1">
      <alignment horizontal="center"/>
    </xf>
    <xf numFmtId="0" fontId="12" fillId="0" borderId="0" xfId="0" applyFont="1"/>
    <xf numFmtId="0" fontId="57" fillId="0" borderId="0" xfId="10" quotePrefix="1" applyFont="1" applyFill="1" applyBorder="1" applyAlignment="1" applyProtection="1">
      <alignment vertical="center"/>
    </xf>
    <xf numFmtId="170" fontId="52" fillId="0" borderId="0" xfId="8" applyNumberFormat="1" applyFont="1" applyFill="1" applyBorder="1" applyAlignment="1" applyProtection="1">
      <alignment horizontal="center" vertical="center"/>
    </xf>
    <xf numFmtId="9" fontId="59" fillId="0" borderId="0" xfId="4" applyFont="1"/>
    <xf numFmtId="0" fontId="51" fillId="0" borderId="0" xfId="8" applyFont="1" applyProtection="1"/>
    <xf numFmtId="0" fontId="51" fillId="0" borderId="0" xfId="14" applyFont="1" applyAlignment="1">
      <alignment horizontal="left" vertical="center"/>
    </xf>
    <xf numFmtId="0" fontId="57" fillId="0" borderId="0" xfId="10" applyFont="1" applyAlignment="1">
      <alignment vertical="center"/>
    </xf>
    <xf numFmtId="0" fontId="57" fillId="0" borderId="0" xfId="10" quotePrefix="1" applyFont="1" applyFill="1" applyBorder="1" applyAlignment="1" applyProtection="1">
      <alignment horizontal="left" vertical="center"/>
    </xf>
    <xf numFmtId="0" fontId="57" fillId="0" borderId="0" xfId="10" applyFont="1" applyAlignment="1">
      <alignment horizontal="left" vertical="center"/>
    </xf>
    <xf numFmtId="0" fontId="58" fillId="0" borderId="0" xfId="14" applyFont="1" applyAlignment="1">
      <alignment horizontal="left" vertical="center"/>
    </xf>
    <xf numFmtId="0" fontId="58" fillId="0" borderId="0" xfId="14" applyFont="1" applyAlignment="1">
      <alignment vertical="center"/>
    </xf>
    <xf numFmtId="0" fontId="27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/>
    </xf>
    <xf numFmtId="0" fontId="50" fillId="0" borderId="0" xfId="0" applyFont="1" applyAlignment="1">
      <alignment wrapText="1"/>
    </xf>
    <xf numFmtId="3" fontId="54" fillId="0" borderId="0" xfId="0" applyNumberFormat="1" applyFont="1" applyFill="1" applyBorder="1" applyAlignment="1" applyProtection="1">
      <alignment horizontal="right"/>
    </xf>
    <xf numFmtId="0" fontId="50" fillId="0" borderId="0" xfId="0" applyFont="1" applyBorder="1" applyAlignment="1">
      <alignment wrapText="1"/>
    </xf>
    <xf numFmtId="0" fontId="6" fillId="0" borderId="6" xfId="17" applyFont="1" applyBorder="1" applyAlignment="1">
      <alignment horizontal="left" wrapText="1"/>
    </xf>
    <xf numFmtId="0" fontId="54" fillId="0" borderId="0" xfId="0" applyFont="1" applyFill="1" applyBorder="1" applyAlignment="1" applyProtection="1">
      <alignment horizontal="left"/>
    </xf>
    <xf numFmtId="0" fontId="60" fillId="0" borderId="6" xfId="17" applyFont="1" applyBorder="1" applyAlignment="1">
      <alignment wrapText="1"/>
    </xf>
    <xf numFmtId="0" fontId="61" fillId="0" borderId="6" xfId="17" applyFont="1" applyFill="1" applyBorder="1" applyAlignment="1" applyProtection="1">
      <alignment horizontal="left"/>
    </xf>
    <xf numFmtId="0" fontId="6" fillId="0" borderId="6" xfId="17" applyFont="1" applyBorder="1" applyAlignment="1">
      <alignment wrapText="1"/>
    </xf>
    <xf numFmtId="0" fontId="6" fillId="0" borderId="6" xfId="17" applyFont="1" applyBorder="1" applyAlignment="1" applyProtection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6" fillId="0" borderId="6" xfId="0" applyFont="1" applyBorder="1" applyAlignment="1">
      <alignment horizontal="left"/>
    </xf>
    <xf numFmtId="165" fontId="14" fillId="0" borderId="0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vertical="center" wrapText="1"/>
    </xf>
    <xf numFmtId="169" fontId="51" fillId="0" borderId="0" xfId="1" applyNumberFormat="1" applyFont="1" applyFill="1" applyBorder="1" applyAlignment="1">
      <alignment horizontal="center" vertical="center" wrapText="1"/>
    </xf>
    <xf numFmtId="9" fontId="6" fillId="0" borderId="0" xfId="4" applyFont="1" applyBorder="1" applyAlignment="1">
      <alignment horizontal="left"/>
    </xf>
    <xf numFmtId="0" fontId="63" fillId="0" borderId="0" xfId="0" applyFont="1" applyAlignment="1">
      <alignment horizontal="right"/>
    </xf>
    <xf numFmtId="0" fontId="49" fillId="0" borderId="0" xfId="0" applyFont="1" applyFill="1"/>
    <xf numFmtId="0" fontId="63" fillId="0" borderId="0" xfId="0" applyFont="1" applyFill="1" applyAlignment="1">
      <alignment horizontal="right" wrapText="1"/>
    </xf>
    <xf numFmtId="0" fontId="49" fillId="0" borderId="0" xfId="0" applyFont="1" applyAlignment="1">
      <alignment horizontal="right"/>
    </xf>
    <xf numFmtId="0" fontId="49" fillId="0" borderId="0" xfId="0" applyFont="1"/>
    <xf numFmtId="166" fontId="64" fillId="0" borderId="0" xfId="0" applyNumberFormat="1" applyFont="1" applyAlignment="1">
      <alignment horizontal="right"/>
    </xf>
    <xf numFmtId="164" fontId="0" fillId="0" borderId="0" xfId="0" applyNumberForma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5" xfId="0" applyFont="1" applyFill="1" applyBorder="1"/>
    <xf numFmtId="0" fontId="2" fillId="0" borderId="1" xfId="0" applyFont="1" applyBorder="1"/>
    <xf numFmtId="2" fontId="6" fillId="0" borderId="0" xfId="0" applyNumberFormat="1" applyFont="1" applyFill="1" applyBorder="1" applyAlignment="1" applyProtection="1">
      <alignment horizontal="center" vertical="center"/>
      <protection locked="0"/>
    </xf>
    <xf numFmtId="9" fontId="0" fillId="0" borderId="0" xfId="4" applyFont="1" applyFill="1" applyBorder="1" applyAlignment="1">
      <alignment horizontal="center" vertical="center"/>
    </xf>
    <xf numFmtId="164" fontId="3" fillId="3" borderId="20" xfId="0" applyNumberFormat="1" applyFont="1" applyFill="1" applyBorder="1" applyAlignment="1">
      <alignment horizontal="center" vertical="center"/>
    </xf>
    <xf numFmtId="168" fontId="0" fillId="0" borderId="25" xfId="1" applyNumberFormat="1" applyFont="1" applyFill="1" applyBorder="1" applyAlignment="1">
      <alignment horizontal="right" wrapText="1"/>
    </xf>
    <xf numFmtId="168" fontId="14" fillId="0" borderId="8" xfId="1" applyNumberFormat="1" applyFont="1" applyFill="1" applyBorder="1" applyAlignment="1">
      <alignment horizontal="right" wrapText="1"/>
    </xf>
    <xf numFmtId="168" fontId="0" fillId="0" borderId="8" xfId="1" applyNumberFormat="1" applyFont="1" applyFill="1" applyBorder="1" applyAlignment="1">
      <alignment horizontal="right" wrapText="1"/>
    </xf>
    <xf numFmtId="0" fontId="0" fillId="0" borderId="26" xfId="0" applyFill="1" applyBorder="1" applyAlignment="1">
      <alignment horizontal="right" wrapText="1"/>
    </xf>
    <xf numFmtId="0" fontId="0" fillId="0" borderId="25" xfId="0" applyFill="1" applyBorder="1" applyAlignment="1">
      <alignment horizontal="right" wrapText="1"/>
    </xf>
    <xf numFmtId="43" fontId="0" fillId="0" borderId="0" xfId="1" applyFont="1" applyFill="1" applyBorder="1" applyAlignment="1">
      <alignment horizontal="right" wrapText="1"/>
    </xf>
    <xf numFmtId="43" fontId="0" fillId="0" borderId="26" xfId="1" applyFont="1" applyFill="1" applyBorder="1" applyAlignment="1">
      <alignment horizontal="right" wrapText="1"/>
    </xf>
    <xf numFmtId="164" fontId="0" fillId="0" borderId="26" xfId="0" applyNumberFormat="1" applyFill="1" applyBorder="1" applyAlignment="1">
      <alignment horizontal="right" wrapText="1"/>
    </xf>
    <xf numFmtId="164" fontId="0" fillId="0" borderId="25" xfId="0" applyNumberFormat="1" applyFill="1" applyBorder="1" applyAlignment="1">
      <alignment horizontal="right" wrapText="1"/>
    </xf>
    <xf numFmtId="164" fontId="0" fillId="0" borderId="9" xfId="0" applyNumberFormat="1" applyFill="1" applyBorder="1" applyAlignment="1">
      <alignment horizontal="right" wrapText="1"/>
    </xf>
    <xf numFmtId="164" fontId="0" fillId="0" borderId="8" xfId="0" applyNumberFormat="1" applyFill="1" applyBorder="1" applyAlignment="1">
      <alignment horizontal="right" wrapText="1"/>
    </xf>
    <xf numFmtId="43" fontId="0" fillId="0" borderId="18" xfId="1" applyFont="1" applyFill="1" applyBorder="1" applyAlignment="1">
      <alignment horizontal="right" wrapText="1"/>
    </xf>
    <xf numFmtId="43" fontId="0" fillId="0" borderId="9" xfId="1" applyFont="1" applyFill="1" applyBorder="1" applyAlignment="1">
      <alignment horizontal="right" wrapText="1"/>
    </xf>
    <xf numFmtId="168" fontId="14" fillId="0" borderId="25" xfId="1" applyNumberFormat="1" applyFont="1" applyFill="1" applyBorder="1" applyAlignment="1">
      <alignment horizontal="right" wrapText="1"/>
    </xf>
    <xf numFmtId="164" fontId="14" fillId="0" borderId="26" xfId="0" applyNumberFormat="1" applyFont="1" applyFill="1" applyBorder="1" applyAlignment="1">
      <alignment horizontal="right" wrapText="1"/>
    </xf>
    <xf numFmtId="164" fontId="14" fillId="0" borderId="25" xfId="0" applyNumberFormat="1" applyFont="1" applyFill="1" applyBorder="1" applyAlignment="1">
      <alignment horizontal="right" wrapText="1"/>
    </xf>
    <xf numFmtId="168" fontId="14" fillId="0" borderId="0" xfId="1" applyNumberFormat="1" applyFont="1" applyFill="1" applyBorder="1" applyAlignment="1">
      <alignment horizontal="right" wrapText="1"/>
    </xf>
    <xf numFmtId="43" fontId="14" fillId="0" borderId="0" xfId="1" applyFont="1" applyFill="1" applyBorder="1" applyAlignment="1">
      <alignment horizontal="right" wrapText="1"/>
    </xf>
    <xf numFmtId="43" fontId="14" fillId="0" borderId="26" xfId="1" applyFont="1" applyFill="1" applyBorder="1" applyAlignment="1">
      <alignment horizontal="right" wrapText="1"/>
    </xf>
    <xf numFmtId="0" fontId="0" fillId="0" borderId="25" xfId="0" applyFill="1" applyBorder="1" applyAlignment="1">
      <alignment wrapText="1"/>
    </xf>
    <xf numFmtId="0" fontId="0" fillId="0" borderId="26" xfId="0" applyFill="1" applyBorder="1" applyAlignment="1">
      <alignment wrapText="1"/>
    </xf>
    <xf numFmtId="0" fontId="0" fillId="0" borderId="0" xfId="0" applyFill="1" applyBorder="1" applyAlignment="1">
      <alignment wrapText="1"/>
    </xf>
    <xf numFmtId="168" fontId="3" fillId="0" borderId="25" xfId="1" applyNumberFormat="1" applyFont="1" applyFill="1" applyBorder="1" applyAlignment="1">
      <alignment horizontal="right" wrapText="1"/>
    </xf>
    <xf numFmtId="164" fontId="3" fillId="0" borderId="26" xfId="0" applyNumberFormat="1" applyFont="1" applyFill="1" applyBorder="1" applyAlignment="1">
      <alignment horizontal="right" wrapText="1"/>
    </xf>
    <xf numFmtId="164" fontId="3" fillId="0" borderId="25" xfId="0" applyNumberFormat="1" applyFont="1" applyFill="1" applyBorder="1" applyAlignment="1">
      <alignment horizontal="right" wrapText="1"/>
    </xf>
    <xf numFmtId="168" fontId="3" fillId="0" borderId="0" xfId="1" applyNumberFormat="1" applyFont="1" applyFill="1" applyBorder="1" applyAlignment="1">
      <alignment horizontal="right" wrapText="1"/>
    </xf>
    <xf numFmtId="43" fontId="3" fillId="0" borderId="0" xfId="1" applyFont="1" applyFill="1" applyBorder="1" applyAlignment="1">
      <alignment horizontal="right" wrapText="1"/>
    </xf>
    <xf numFmtId="43" fontId="3" fillId="0" borderId="26" xfId="1" applyFont="1" applyFill="1" applyBorder="1" applyAlignment="1">
      <alignment horizontal="right" wrapText="1"/>
    </xf>
    <xf numFmtId="168" fontId="0" fillId="0" borderId="8" xfId="1" applyNumberFormat="1" applyFont="1" applyFill="1" applyBorder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0" fontId="0" fillId="0" borderId="8" xfId="0" applyFill="1" applyBorder="1" applyAlignment="1">
      <alignment horizontal="right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27" xfId="0" applyBorder="1"/>
    <xf numFmtId="169" fontId="60" fillId="0" borderId="6" xfId="1" applyNumberFormat="1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/>
    <xf numFmtId="165" fontId="14" fillId="3" borderId="6" xfId="0" applyNumberFormat="1" applyFont="1" applyFill="1" applyBorder="1" applyAlignment="1">
      <alignment horizontal="right"/>
    </xf>
    <xf numFmtId="0" fontId="2" fillId="0" borderId="6" xfId="0" applyFont="1" applyFill="1" applyBorder="1"/>
    <xf numFmtId="0" fontId="2" fillId="0" borderId="6" xfId="0" applyFont="1" applyBorder="1"/>
    <xf numFmtId="0" fontId="2" fillId="0" borderId="6" xfId="0" applyFont="1" applyBorder="1" applyAlignment="1">
      <alignment horizontal="left" wrapText="1"/>
    </xf>
    <xf numFmtId="0" fontId="10" fillId="0" borderId="0" xfId="0" applyFont="1" applyBorder="1" applyAlignment="1">
      <alignment vertical="center" wrapText="1"/>
    </xf>
    <xf numFmtId="0" fontId="3" fillId="0" borderId="0" xfId="0" applyFont="1" applyBorder="1"/>
    <xf numFmtId="0" fontId="0" fillId="0" borderId="1" xfId="0" applyFill="1" applyBorder="1"/>
    <xf numFmtId="0" fontId="3" fillId="0" borderId="0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 wrapText="1"/>
    </xf>
    <xf numFmtId="0" fontId="27" fillId="0" borderId="18" xfId="0" applyFont="1" applyBorder="1" applyAlignment="1">
      <alignment vertical="center" wrapText="1"/>
    </xf>
    <xf numFmtId="0" fontId="27" fillId="0" borderId="18" xfId="0" applyFont="1" applyBorder="1"/>
    <xf numFmtId="0" fontId="27" fillId="0" borderId="18" xfId="0" applyFont="1" applyBorder="1" applyAlignment="1"/>
    <xf numFmtId="0" fontId="27" fillId="0" borderId="18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26" fillId="4" borderId="14" xfId="0" applyFont="1" applyFill="1" applyBorder="1" applyAlignment="1">
      <alignment horizontal="center"/>
    </xf>
    <xf numFmtId="0" fontId="26" fillId="4" borderId="15" xfId="0" applyFont="1" applyFill="1" applyBorder="1" applyAlignment="1">
      <alignment horizontal="center"/>
    </xf>
    <xf numFmtId="0" fontId="26" fillId="4" borderId="16" xfId="0" applyFont="1" applyFill="1" applyBorder="1" applyAlignment="1">
      <alignment horizontal="center"/>
    </xf>
    <xf numFmtId="0" fontId="47" fillId="0" borderId="0" xfId="0" applyFont="1" applyBorder="1" applyAlignment="1">
      <alignment horizontal="center" wrapText="1"/>
    </xf>
    <xf numFmtId="0" fontId="25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center" wrapText="1"/>
    </xf>
    <xf numFmtId="0" fontId="29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" fillId="0" borderId="23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wrapText="1"/>
    </xf>
    <xf numFmtId="0" fontId="44" fillId="0" borderId="0" xfId="0" applyFont="1" applyBorder="1" applyAlignment="1">
      <alignment horizontal="center" wrapText="1"/>
    </xf>
    <xf numFmtId="0" fontId="6" fillId="0" borderId="0" xfId="0" applyFont="1" applyFill="1" applyBorder="1" applyAlignment="1" applyProtection="1">
      <alignment wrapText="1"/>
    </xf>
    <xf numFmtId="0" fontId="14" fillId="0" borderId="0" xfId="0" applyFont="1" applyBorder="1" applyAlignment="1">
      <alignment horizontal="left" wrapText="1"/>
    </xf>
    <xf numFmtId="0" fontId="60" fillId="0" borderId="12" xfId="17" applyFont="1" applyBorder="1" applyAlignment="1">
      <alignment horizontal="center" wrapText="1"/>
    </xf>
    <xf numFmtId="0" fontId="60" fillId="0" borderId="24" xfId="17" applyFont="1" applyBorder="1" applyAlignment="1">
      <alignment horizontal="center" wrapText="1"/>
    </xf>
    <xf numFmtId="0" fontId="60" fillId="0" borderId="13" xfId="17" applyFont="1" applyBorder="1" applyAlignment="1">
      <alignment horizontal="center" wrapText="1"/>
    </xf>
    <xf numFmtId="0" fontId="21" fillId="0" borderId="0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13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/>
    </xf>
    <xf numFmtId="0" fontId="21" fillId="5" borderId="6" xfId="0" applyFont="1" applyFill="1" applyBorder="1" applyAlignment="1">
      <alignment horizontal="center"/>
    </xf>
    <xf numFmtId="0" fontId="53" fillId="5" borderId="12" xfId="0" applyFont="1" applyFill="1" applyBorder="1" applyAlignment="1">
      <alignment horizontal="center"/>
    </xf>
    <xf numFmtId="0" fontId="53" fillId="5" borderId="24" xfId="0" applyFont="1" applyFill="1" applyBorder="1" applyAlignment="1">
      <alignment horizontal="center"/>
    </xf>
    <xf numFmtId="0" fontId="53" fillId="5" borderId="13" xfId="0" applyFont="1" applyFill="1" applyBorder="1" applyAlignment="1">
      <alignment horizontal="center"/>
    </xf>
    <xf numFmtId="0" fontId="3" fillId="0" borderId="0" xfId="3" applyFont="1" applyAlignment="1">
      <alignment horizontal="center"/>
    </xf>
    <xf numFmtId="0" fontId="57" fillId="0" borderId="0" xfId="10" quotePrefix="1" applyFont="1" applyFill="1" applyBorder="1" applyAlignment="1" applyProtection="1">
      <alignment horizontal="left" vertical="center"/>
    </xf>
    <xf numFmtId="0" fontId="57" fillId="0" borderId="0" xfId="10" applyFont="1" applyAlignment="1">
      <alignment horizontal="left" vertical="center"/>
    </xf>
    <xf numFmtId="0" fontId="58" fillId="0" borderId="0" xfId="14" applyFont="1" applyAlignment="1">
      <alignment horizontal="left" vertical="center"/>
    </xf>
  </cellXfs>
  <cellStyles count="18">
    <cellStyle name="Comma" xfId="1" builtinId="3"/>
    <cellStyle name="Comma 2" xfId="9"/>
    <cellStyle name="Currency 2" xfId="12"/>
    <cellStyle name="Currency 3" xfId="16"/>
    <cellStyle name="Hyperlink" xfId="2" builtinId="8"/>
    <cellStyle name="Hyperlink 2" xfId="7"/>
    <cellStyle name="Hyperlink 3" xfId="10"/>
    <cellStyle name="Neutral 2" xfId="13"/>
    <cellStyle name="Normal" xfId="0" builtinId="0"/>
    <cellStyle name="Normal 2" xfId="3"/>
    <cellStyle name="Normal 2 2" xfId="14"/>
    <cellStyle name="Normal 2 2 2" xfId="17"/>
    <cellStyle name="Normal 2 3" xfId="15"/>
    <cellStyle name="Normal 2 4" xfId="6"/>
    <cellStyle name="Normal 3" xfId="8"/>
    <cellStyle name="Normal 4" xfId="5"/>
    <cellStyle name="Percent" xfId="4" builtinId="5"/>
    <cellStyle name="Percent 2" xfId="11"/>
  </cellStyles>
  <dxfs count="2">
    <dxf>
      <font>
        <color theme="0" tint="-0.14996795556505021"/>
      </font>
    </dxf>
    <dxf>
      <font>
        <color theme="0" tint="-0.14996795556505021"/>
      </font>
    </dxf>
  </dxfs>
  <tableStyles count="0" defaultTableStyle="TableStyleMedium9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Drop" dropLines="20" dropStyle="combo" dx="16" fmlaLink="$F$35" fmlaRange="'Drop Down Ref'!$C$2:$C$53" noThreeD="1" sel="1" val="0"/>
</file>

<file path=xl/ctrlProps/ctrlProp2.xml><?xml version="1.0" encoding="utf-8"?>
<formControlPr xmlns="http://schemas.microsoft.com/office/spreadsheetml/2009/9/main" objectType="Drop" dropLines="3" dropStyle="combo" dx="16" fmlaLink="$F$34" fmlaRange="$D$35:$D$36" noThreeD="1" sel="2" val="0"/>
</file>

<file path=xl/ctrlProps/ctrlProp3.xml><?xml version="1.0" encoding="utf-8"?>
<formControlPr xmlns="http://schemas.microsoft.com/office/spreadsheetml/2009/9/main" objectType="Drop" dropLines="12" dropStyle="combo" dx="16" fmlaLink="$I$32" fmlaRange="'Drop Down Ref'!$H$9:$H$20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9525</xdr:rowOff>
        </xdr:from>
        <xdr:to>
          <xdr:col>7</xdr:col>
          <xdr:colOff>1162050</xdr:colOff>
          <xdr:row>14</xdr:row>
          <xdr:rowOff>209550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200025</xdr:rowOff>
        </xdr:from>
        <xdr:to>
          <xdr:col>7</xdr:col>
          <xdr:colOff>1162050</xdr:colOff>
          <xdr:row>14</xdr:row>
          <xdr:rowOff>400050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15</xdr:row>
          <xdr:rowOff>104775</xdr:rowOff>
        </xdr:from>
        <xdr:to>
          <xdr:col>7</xdr:col>
          <xdr:colOff>1181100</xdr:colOff>
          <xdr:row>16</xdr:row>
          <xdr:rowOff>190500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ke%20Walker\AppData\Local\Microsoft\Windows\INetCache\Content.Outlook\NCM2FGYS\Office%20Equipment%20Calculat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RESULTS"/>
      <sheetName val="Desktop Calcs"/>
      <sheetName val="Laptop Calcs"/>
      <sheetName val="Monitor Calcs"/>
      <sheetName val="Signage Calcs"/>
      <sheetName val="Phone Calcs"/>
      <sheetName val="MFD Calcs"/>
      <sheetName val="Printer Calcs"/>
      <sheetName val="Copier Calcs"/>
      <sheetName val="Fax Calcs"/>
      <sheetName val="Scanner Calcs"/>
      <sheetName val="General Assumptions"/>
      <sheetName val="About This Calculator"/>
    </sheetNames>
    <sheetDataSet>
      <sheetData sheetId="0"/>
      <sheetData sheetId="1" refreshError="1"/>
      <sheetData sheetId="2">
        <row r="11">
          <cell r="C11">
            <v>48.11</v>
          </cell>
          <cell r="D11">
            <v>2.31</v>
          </cell>
          <cell r="E11">
            <v>0.96</v>
          </cell>
        </row>
      </sheetData>
      <sheetData sheetId="3">
        <row r="11">
          <cell r="C11">
            <v>14.82</v>
          </cell>
          <cell r="D11">
            <v>1.21</v>
          </cell>
          <cell r="E11">
            <v>0.60599999999999998</v>
          </cell>
        </row>
      </sheetData>
      <sheetData sheetId="4">
        <row r="17">
          <cell r="D17">
            <v>34.911149999999999</v>
          </cell>
        </row>
        <row r="24">
          <cell r="D24">
            <v>2</v>
          </cell>
        </row>
        <row r="25">
          <cell r="D25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eia.gov/forecasts/aeo/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8"/>
    <pageSetUpPr fitToPage="1"/>
  </sheetPr>
  <dimension ref="B1:T92"/>
  <sheetViews>
    <sheetView showGridLines="0" zoomScaleNormal="100" zoomScaleSheetLayoutView="85" workbookViewId="0">
      <selection activeCell="I11" sqref="I11"/>
    </sheetView>
  </sheetViews>
  <sheetFormatPr defaultRowHeight="12.75"/>
  <cols>
    <col min="1" max="1" width="1.140625" customWidth="1"/>
    <col min="2" max="2" width="2.140625" customWidth="1"/>
    <col min="3" max="3" width="4" style="122" customWidth="1"/>
    <col min="4" max="4" width="39" customWidth="1"/>
    <col min="5" max="5" width="5" style="122" customWidth="1"/>
    <col min="6" max="6" width="15.5703125" customWidth="1"/>
    <col min="7" max="7" width="2.85546875" style="122" customWidth="1"/>
    <col min="8" max="8" width="17.85546875" customWidth="1"/>
    <col min="9" max="9" width="15.5703125" style="122" customWidth="1"/>
    <col min="10" max="10" width="2.5703125" customWidth="1"/>
    <col min="11" max="11" width="4.5703125" customWidth="1"/>
    <col min="12" max="12" width="9.140625" style="20"/>
    <col min="13" max="13" width="2.7109375" style="20" bestFit="1" customWidth="1"/>
    <col min="14" max="14" width="10.42578125" style="20" customWidth="1"/>
    <col min="15" max="20" width="9.140625" style="20"/>
  </cols>
  <sheetData>
    <row r="1" spans="2:20" ht="4.5" customHeight="1" thickBot="1">
      <c r="F1" s="17"/>
      <c r="G1" s="17"/>
    </row>
    <row r="2" spans="2:20" ht="27" customHeight="1">
      <c r="B2" s="252" t="s">
        <v>0</v>
      </c>
      <c r="C2" s="253"/>
      <c r="D2" s="253"/>
      <c r="E2" s="253"/>
      <c r="F2" s="253"/>
      <c r="G2" s="253"/>
      <c r="H2" s="253"/>
      <c r="I2" s="253"/>
      <c r="J2" s="254"/>
      <c r="K2" s="79"/>
      <c r="L2" s="66"/>
    </row>
    <row r="3" spans="2:20" ht="7.5" customHeight="1">
      <c r="B3" s="1"/>
      <c r="C3" s="2"/>
      <c r="D3" s="255"/>
      <c r="E3" s="255"/>
      <c r="F3" s="256"/>
      <c r="G3" s="256"/>
      <c r="H3" s="256"/>
      <c r="I3" s="162"/>
      <c r="J3" s="3"/>
      <c r="K3" s="2"/>
      <c r="L3" s="66"/>
    </row>
    <row r="4" spans="2:20" ht="43.5" customHeight="1">
      <c r="B4" s="1"/>
      <c r="C4" s="2"/>
      <c r="D4" s="258" t="s">
        <v>207</v>
      </c>
      <c r="E4" s="258"/>
      <c r="F4" s="258"/>
      <c r="G4" s="258"/>
      <c r="H4" s="258"/>
      <c r="I4" s="258"/>
      <c r="J4" s="74"/>
      <c r="K4" s="2"/>
      <c r="L4" s="66"/>
    </row>
    <row r="5" spans="2:20" ht="14.25" customHeight="1">
      <c r="B5" s="14"/>
      <c r="C5" s="244" t="s">
        <v>177</v>
      </c>
      <c r="D5" s="243"/>
      <c r="E5" s="243"/>
      <c r="F5" s="243"/>
      <c r="G5" s="243"/>
      <c r="H5" s="243"/>
      <c r="I5" s="259"/>
      <c r="J5" s="260"/>
      <c r="K5" s="2"/>
      <c r="L5" s="66"/>
    </row>
    <row r="6" spans="2:20" s="122" customFormat="1" ht="5.25" customHeight="1">
      <c r="B6" s="1"/>
      <c r="C6" s="2"/>
      <c r="D6" s="161"/>
      <c r="E6" s="161"/>
      <c r="F6" s="161"/>
      <c r="G6" s="161"/>
      <c r="H6" s="161"/>
      <c r="I6" s="161"/>
      <c r="J6" s="75"/>
      <c r="K6" s="2"/>
      <c r="L6" s="66"/>
      <c r="M6" s="20"/>
      <c r="N6" s="20"/>
      <c r="O6" s="20"/>
      <c r="P6" s="20"/>
      <c r="Q6" s="20"/>
      <c r="R6" s="20"/>
      <c r="S6" s="20"/>
      <c r="T6" s="20"/>
    </row>
    <row r="7" spans="2:20" s="121" customFormat="1" ht="6" customHeight="1" thickBot="1">
      <c r="B7" s="1"/>
      <c r="C7" s="2"/>
      <c r="F7" s="120"/>
      <c r="G7" s="161"/>
      <c r="H7" s="120"/>
      <c r="I7" s="161"/>
      <c r="J7" s="75"/>
      <c r="K7" s="2"/>
      <c r="L7" s="66"/>
      <c r="M7" s="20"/>
      <c r="N7" s="20"/>
      <c r="O7" s="20"/>
      <c r="P7" s="20"/>
      <c r="Q7" s="20"/>
      <c r="R7" s="20"/>
      <c r="S7" s="20"/>
      <c r="T7" s="20"/>
    </row>
    <row r="8" spans="2:20" s="121" customFormat="1" ht="15" customHeight="1" thickBot="1">
      <c r="B8" s="1"/>
      <c r="C8" s="2"/>
      <c r="D8" s="242" t="s">
        <v>178</v>
      </c>
      <c r="F8" s="124">
        <v>1</v>
      </c>
      <c r="G8"/>
      <c r="I8" s="122"/>
      <c r="J8" s="75"/>
      <c r="K8" s="2"/>
      <c r="L8" s="67"/>
      <c r="M8" s="49"/>
      <c r="N8" s="49"/>
      <c r="O8" s="20"/>
      <c r="P8" s="20"/>
      <c r="Q8" s="20"/>
      <c r="R8" s="20"/>
      <c r="S8" s="20"/>
      <c r="T8" s="20"/>
    </row>
    <row r="9" spans="2:20" s="121" customFormat="1" ht="15" customHeight="1" thickBot="1">
      <c r="B9" s="1"/>
      <c r="C9" s="2"/>
      <c r="D9" s="242" t="s">
        <v>179</v>
      </c>
      <c r="F9" s="124">
        <v>0</v>
      </c>
      <c r="G9"/>
      <c r="I9" s="122"/>
      <c r="J9" s="75"/>
      <c r="K9" s="2"/>
      <c r="L9" s="67"/>
      <c r="M9" s="49"/>
      <c r="N9" s="49"/>
      <c r="O9" s="20"/>
      <c r="P9" s="20"/>
      <c r="Q9" s="20"/>
      <c r="R9" s="20"/>
      <c r="S9" s="20"/>
      <c r="T9" s="20"/>
    </row>
    <row r="10" spans="2:20" ht="15" customHeight="1" thickBot="1">
      <c r="B10" s="1"/>
      <c r="C10" s="2"/>
      <c r="D10" s="242" t="s">
        <v>180</v>
      </c>
      <c r="F10" s="124">
        <v>0</v>
      </c>
      <c r="G10"/>
      <c r="J10" s="75"/>
      <c r="K10" s="2"/>
      <c r="L10" s="67"/>
      <c r="M10" s="49"/>
      <c r="N10" s="49"/>
    </row>
    <row r="11" spans="2:20" ht="15" customHeight="1" thickBot="1">
      <c r="B11" s="1"/>
      <c r="C11" s="2"/>
      <c r="D11" s="242" t="s">
        <v>181</v>
      </c>
      <c r="F11" s="124">
        <v>0</v>
      </c>
      <c r="G11"/>
      <c r="J11" s="75"/>
      <c r="K11" s="2"/>
      <c r="L11" s="67"/>
      <c r="M11" s="49"/>
      <c r="N11" s="49"/>
    </row>
    <row r="12" spans="2:20" s="122" customFormat="1" ht="11.25" customHeight="1">
      <c r="B12" s="1"/>
      <c r="C12" s="2"/>
      <c r="D12" s="178"/>
      <c r="E12" s="178"/>
      <c r="F12" s="179"/>
      <c r="G12" s="179"/>
      <c r="J12" s="75"/>
      <c r="K12" s="2"/>
      <c r="L12" s="67"/>
      <c r="M12" s="49"/>
      <c r="N12" s="49"/>
      <c r="O12" s="20"/>
      <c r="P12" s="20"/>
      <c r="Q12" s="20"/>
      <c r="R12" s="20"/>
      <c r="S12" s="20"/>
      <c r="T12" s="20"/>
    </row>
    <row r="13" spans="2:20" ht="14.25" customHeight="1">
      <c r="B13" s="14"/>
      <c r="C13" s="245" t="s">
        <v>138</v>
      </c>
      <c r="D13" s="245"/>
      <c r="E13" s="245"/>
      <c r="F13" s="245"/>
      <c r="G13" s="245"/>
      <c r="H13" s="245"/>
      <c r="I13" s="245"/>
      <c r="J13" s="78"/>
      <c r="K13" s="2"/>
      <c r="L13" s="66"/>
    </row>
    <row r="14" spans="2:20" s="122" customFormat="1" ht="11.25" customHeight="1" thickBot="1">
      <c r="B14" s="1"/>
      <c r="C14" s="2"/>
      <c r="D14" s="161"/>
      <c r="E14" s="161"/>
      <c r="F14" s="161"/>
      <c r="G14" s="161"/>
      <c r="H14" s="161"/>
      <c r="I14" s="161"/>
      <c r="J14" s="3"/>
      <c r="K14" s="2"/>
      <c r="L14" s="66"/>
      <c r="M14" s="20"/>
      <c r="N14" s="20"/>
      <c r="O14" s="20"/>
      <c r="P14" s="20"/>
      <c r="Q14" s="20"/>
      <c r="R14" s="20"/>
      <c r="S14" s="20"/>
      <c r="T14" s="20"/>
    </row>
    <row r="15" spans="2:20" ht="58.5" customHeight="1" thickBot="1">
      <c r="B15" s="1"/>
      <c r="C15" s="2"/>
      <c r="D15" s="257" t="s">
        <v>183</v>
      </c>
      <c r="E15" s="257"/>
      <c r="F15" s="257"/>
      <c r="G15" s="241"/>
      <c r="H15" s="2"/>
      <c r="I15" s="193" t="str">
        <f>+H36</f>
        <v>$0.1232</v>
      </c>
      <c r="J15" s="3"/>
      <c r="K15" s="2"/>
      <c r="L15" s="66"/>
    </row>
    <row r="16" spans="2:20" s="122" customFormat="1" ht="9" customHeight="1">
      <c r="B16" s="1"/>
      <c r="C16" s="2"/>
      <c r="D16" s="241"/>
      <c r="E16" s="241"/>
      <c r="F16" s="241"/>
      <c r="G16" s="241"/>
      <c r="H16" s="2"/>
      <c r="I16" s="187"/>
      <c r="J16" s="3"/>
      <c r="K16" s="2"/>
      <c r="L16" s="66"/>
      <c r="M16" s="20"/>
      <c r="N16" s="20"/>
      <c r="O16" s="20"/>
      <c r="P16" s="20"/>
      <c r="Q16" s="20"/>
      <c r="R16" s="20"/>
      <c r="S16" s="20"/>
      <c r="T16" s="20"/>
    </row>
    <row r="17" spans="2:20" ht="27" customHeight="1">
      <c r="B17" s="1"/>
      <c r="C17" s="2"/>
      <c r="D17" s="250" t="s">
        <v>184</v>
      </c>
      <c r="E17" s="250"/>
      <c r="F17" s="250"/>
      <c r="G17" s="240"/>
      <c r="H17" s="192"/>
      <c r="I17" s="180"/>
      <c r="J17" s="3"/>
      <c r="K17" s="2"/>
      <c r="L17" s="123"/>
    </row>
    <row r="18" spans="2:20" s="122" customFormat="1" ht="11.25" customHeight="1">
      <c r="B18" s="1"/>
      <c r="C18" s="2"/>
      <c r="D18" s="172"/>
      <c r="E18" s="172"/>
      <c r="F18" s="172"/>
      <c r="G18" s="240"/>
      <c r="H18" s="192"/>
      <c r="I18" s="180"/>
      <c r="J18" s="3"/>
      <c r="K18" s="2"/>
      <c r="L18" s="123"/>
      <c r="M18" s="20"/>
      <c r="N18" s="20"/>
      <c r="O18" s="20"/>
      <c r="P18" s="20"/>
      <c r="Q18" s="20"/>
      <c r="R18" s="20"/>
      <c r="S18" s="20"/>
      <c r="T18" s="20"/>
    </row>
    <row r="19" spans="2:20" s="122" customFormat="1" ht="13.5" customHeight="1">
      <c r="B19" s="14"/>
      <c r="C19" s="246" t="s">
        <v>176</v>
      </c>
      <c r="D19" s="243"/>
      <c r="E19" s="243"/>
      <c r="F19" s="243"/>
      <c r="G19" s="243"/>
      <c r="H19" s="243"/>
      <c r="I19" s="243"/>
      <c r="J19" s="78"/>
      <c r="K19" s="2"/>
      <c r="L19" s="123"/>
      <c r="M19" s="20"/>
      <c r="N19" s="20"/>
      <c r="O19" s="20"/>
      <c r="P19" s="20"/>
      <c r="Q19" s="20"/>
      <c r="R19" s="20"/>
      <c r="S19" s="20"/>
      <c r="T19" s="20"/>
    </row>
    <row r="20" spans="2:20" s="122" customFormat="1" ht="11.25" customHeight="1">
      <c r="B20" s="1"/>
      <c r="C20" s="247"/>
      <c r="D20" s="248"/>
      <c r="E20" s="248"/>
      <c r="F20" s="248"/>
      <c r="G20" s="248"/>
      <c r="H20" s="248"/>
      <c r="I20" s="248"/>
      <c r="J20" s="3"/>
      <c r="K20" s="2"/>
      <c r="L20" s="123"/>
      <c r="M20" s="20"/>
      <c r="N20" s="20"/>
      <c r="O20" s="20"/>
      <c r="P20" s="20"/>
      <c r="Q20" s="20"/>
      <c r="R20" s="20"/>
      <c r="S20" s="20"/>
      <c r="T20" s="20"/>
    </row>
    <row r="21" spans="2:20" s="122" customFormat="1" ht="31.5" customHeight="1">
      <c r="B21" s="1"/>
      <c r="C21" s="247"/>
      <c r="D21" s="250" t="s">
        <v>185</v>
      </c>
      <c r="E21" s="250"/>
      <c r="F21" s="250"/>
      <c r="G21" s="250"/>
      <c r="H21" s="250"/>
      <c r="I21" s="250"/>
      <c r="J21" s="3"/>
      <c r="K21" s="2"/>
      <c r="L21" s="123"/>
      <c r="M21" s="20"/>
      <c r="N21" s="20"/>
      <c r="O21" s="20"/>
      <c r="P21" s="20"/>
      <c r="Q21" s="20"/>
      <c r="R21" s="20"/>
      <c r="S21" s="20"/>
      <c r="T21" s="20"/>
    </row>
    <row r="22" spans="2:20" s="122" customFormat="1" ht="7.5" customHeight="1">
      <c r="B22" s="1"/>
      <c r="C22" s="247"/>
      <c r="D22" s="248"/>
      <c r="E22" s="248"/>
      <c r="F22" s="248"/>
      <c r="G22" s="248"/>
      <c r="H22" s="248"/>
      <c r="I22" s="248"/>
      <c r="J22" s="3"/>
      <c r="K22" s="2"/>
      <c r="L22" s="123"/>
      <c r="M22" s="20"/>
      <c r="N22" s="20"/>
      <c r="O22" s="20"/>
      <c r="P22" s="20"/>
      <c r="Q22" s="20"/>
      <c r="R22" s="20"/>
      <c r="S22" s="20"/>
      <c r="T22" s="20"/>
    </row>
    <row r="23" spans="2:20" ht="23.25" customHeight="1">
      <c r="B23" s="1"/>
      <c r="C23" s="2"/>
      <c r="D23" s="250" t="s">
        <v>182</v>
      </c>
      <c r="E23" s="250"/>
      <c r="F23" s="250"/>
      <c r="G23" s="250"/>
      <c r="H23" s="250"/>
      <c r="I23" s="250"/>
      <c r="J23" s="3"/>
      <c r="K23" s="2"/>
      <c r="L23" s="66"/>
    </row>
    <row r="24" spans="2:20" s="122" customFormat="1" ht="7.5" customHeight="1" thickBot="1">
      <c r="B24" s="4"/>
      <c r="C24" s="5"/>
      <c r="D24" s="76"/>
      <c r="E24" s="76"/>
      <c r="F24" s="5"/>
      <c r="G24" s="5"/>
      <c r="H24" s="81"/>
      <c r="I24" s="81"/>
      <c r="J24" s="72"/>
      <c r="K24" s="2"/>
      <c r="L24" s="66"/>
      <c r="M24" s="20"/>
      <c r="N24" s="20"/>
      <c r="O24" s="20"/>
      <c r="P24" s="20"/>
      <c r="Q24" s="20"/>
      <c r="R24" s="20"/>
      <c r="S24" s="20"/>
      <c r="T24" s="20"/>
    </row>
    <row r="25" spans="2:20" s="122" customFormat="1" ht="27.75" customHeight="1">
      <c r="B25" s="2"/>
      <c r="C25" s="2"/>
      <c r="D25" s="68"/>
      <c r="E25" s="68"/>
      <c r="F25" s="2"/>
      <c r="G25" s="2"/>
      <c r="H25" s="79"/>
      <c r="I25" s="79"/>
      <c r="J25" s="9"/>
      <c r="K25" s="2"/>
      <c r="L25" s="66"/>
      <c r="M25" s="20"/>
      <c r="N25" s="20"/>
      <c r="O25" s="20"/>
      <c r="P25" s="20"/>
      <c r="Q25" s="20"/>
      <c r="R25" s="20"/>
      <c r="S25" s="20"/>
      <c r="T25" s="20"/>
    </row>
    <row r="26" spans="2:20" ht="15" customHeight="1">
      <c r="D26" s="18" t="s">
        <v>4</v>
      </c>
      <c r="E26" s="18"/>
      <c r="F26" s="26"/>
      <c r="G26" s="26"/>
      <c r="H26" s="69"/>
      <c r="I26" s="69"/>
      <c r="J26" s="2"/>
      <c r="K26" s="2"/>
    </row>
    <row r="27" spans="2:20" s="122" customFormat="1" ht="15" customHeight="1">
      <c r="D27" s="19" t="s">
        <v>172</v>
      </c>
      <c r="E27" s="18"/>
      <c r="F27" s="26"/>
      <c r="G27" s="26"/>
      <c r="H27" s="69"/>
      <c r="I27" s="69"/>
      <c r="J27" s="2"/>
      <c r="K27" s="2"/>
      <c r="L27" s="20"/>
      <c r="M27" s="20"/>
      <c r="N27" s="20"/>
      <c r="O27" s="20"/>
      <c r="P27" s="20"/>
      <c r="Q27" s="20"/>
      <c r="R27" s="20"/>
      <c r="S27" s="20"/>
      <c r="T27" s="20"/>
    </row>
    <row r="28" spans="2:20" ht="28.5" customHeight="1">
      <c r="D28" s="251" t="s">
        <v>114</v>
      </c>
      <c r="E28" s="251"/>
      <c r="F28" s="251"/>
      <c r="G28" s="251"/>
      <c r="H28" s="251"/>
      <c r="I28" s="251"/>
      <c r="J28" s="251"/>
      <c r="K28" s="2"/>
    </row>
    <row r="29" spans="2:20" s="122" customFormat="1" ht="27.75" customHeight="1">
      <c r="B29"/>
      <c r="D29" s="249" t="s">
        <v>186</v>
      </c>
      <c r="E29" s="249"/>
      <c r="F29" s="249"/>
      <c r="G29" s="249"/>
      <c r="H29" s="249"/>
      <c r="I29" s="249"/>
      <c r="J29" s="249"/>
      <c r="K29" s="2"/>
      <c r="L29" s="20"/>
      <c r="M29" s="20"/>
      <c r="N29" s="20"/>
      <c r="O29" s="20"/>
      <c r="P29" s="20"/>
      <c r="Q29" s="20"/>
      <c r="R29" s="20"/>
      <c r="S29" s="20"/>
      <c r="T29" s="20"/>
    </row>
    <row r="30" spans="2:20" ht="24.75" customHeight="1">
      <c r="D30" s="105"/>
      <c r="E30" s="105"/>
      <c r="F30" s="122"/>
      <c r="H30" s="122"/>
      <c r="J30" s="122"/>
      <c r="K30" s="26"/>
      <c r="L30" s="65"/>
      <c r="M30" s="65"/>
      <c r="N30" s="65"/>
      <c r="O30" s="65"/>
      <c r="P30" s="65"/>
      <c r="Q30" s="65"/>
    </row>
    <row r="31" spans="2:20">
      <c r="D31" s="51"/>
      <c r="E31" s="51"/>
      <c r="F31" s="182"/>
      <c r="G31" s="182"/>
      <c r="H31" s="185"/>
      <c r="I31" s="185"/>
      <c r="J31" s="185"/>
      <c r="K31" s="122"/>
      <c r="L31" s="122"/>
      <c r="N31" s="93"/>
    </row>
    <row r="32" spans="2:20">
      <c r="D32" s="51"/>
      <c r="E32" s="51"/>
      <c r="F32" s="182"/>
      <c r="G32" s="182"/>
      <c r="H32" s="182"/>
      <c r="I32" s="182">
        <v>1</v>
      </c>
      <c r="J32" s="182"/>
      <c r="K32" s="122"/>
      <c r="L32" s="122"/>
      <c r="N32" s="93"/>
    </row>
    <row r="33" spans="4:17">
      <c r="F33" s="185"/>
      <c r="G33" s="185"/>
      <c r="H33" s="182"/>
      <c r="I33" s="182"/>
      <c r="J33" s="182"/>
      <c r="K33" s="125"/>
    </row>
    <row r="34" spans="4:17">
      <c r="F34" s="181">
        <v>2</v>
      </c>
      <c r="G34" s="181"/>
      <c r="H34" s="182"/>
      <c r="I34" s="182"/>
      <c r="J34" s="185"/>
      <c r="K34" s="125"/>
    </row>
    <row r="35" spans="4:17">
      <c r="D35" s="103" t="str">
        <f>'Drop Down Ref'!D1</f>
        <v>Residential</v>
      </c>
      <c r="E35" s="103"/>
      <c r="F35" s="183">
        <v>1</v>
      </c>
      <c r="G35" s="183"/>
      <c r="H35" s="184"/>
      <c r="I35" s="184"/>
      <c r="J35" s="185"/>
      <c r="K35" s="125"/>
    </row>
    <row r="36" spans="4:17" ht="16.5" customHeight="1">
      <c r="D36" s="103" t="str">
        <f>'Drop Down Ref'!E1</f>
        <v>Commercial</v>
      </c>
      <c r="E36" s="103"/>
      <c r="F36" s="185"/>
      <c r="G36" s="185"/>
      <c r="H36" s="186" t="str">
        <f>VLOOKUP(F35,'Drop Down Ref'!B2:E53,F34+2)</f>
        <v>$0.1232</v>
      </c>
      <c r="I36" s="186"/>
      <c r="J36" s="185"/>
      <c r="K36" s="126"/>
      <c r="O36" s="83"/>
      <c r="P36" s="83"/>
      <c r="Q36" s="83"/>
    </row>
    <row r="37" spans="4:17">
      <c r="D37" s="104"/>
      <c r="E37" s="104"/>
      <c r="F37" s="185"/>
      <c r="G37" s="185"/>
      <c r="H37" s="185"/>
      <c r="I37" s="185"/>
      <c r="J37" s="185"/>
      <c r="K37" s="126"/>
      <c r="Q37" s="83"/>
    </row>
    <row r="38" spans="4:17">
      <c r="D38" s="104"/>
      <c r="E38" s="104"/>
      <c r="F38" s="126"/>
      <c r="G38" s="126"/>
      <c r="H38" s="126"/>
      <c r="I38" s="126"/>
      <c r="J38" s="126"/>
      <c r="K38" s="126"/>
      <c r="L38" s="83"/>
      <c r="Q38" s="83"/>
    </row>
    <row r="39" spans="4:17">
      <c r="D39" s="104"/>
      <c r="E39" s="104"/>
      <c r="F39" s="126"/>
      <c r="G39" s="126"/>
      <c r="H39" s="126"/>
      <c r="I39" s="126"/>
      <c r="J39" s="126"/>
      <c r="K39" s="126"/>
      <c r="L39" s="83"/>
      <c r="Q39" s="83"/>
    </row>
    <row r="40" spans="4:17">
      <c r="D40" s="104"/>
      <c r="E40" s="104"/>
      <c r="F40" s="126"/>
      <c r="G40" s="126"/>
      <c r="H40" s="126"/>
      <c r="I40" s="126"/>
      <c r="J40" s="126"/>
      <c r="K40" s="126"/>
      <c r="L40" s="83"/>
      <c r="Q40" s="83"/>
    </row>
    <row r="41" spans="4:17">
      <c r="D41" s="104"/>
      <c r="E41" s="104"/>
      <c r="F41" s="126"/>
      <c r="G41" s="126"/>
      <c r="H41" s="126"/>
      <c r="I41" s="126"/>
      <c r="J41" s="126"/>
      <c r="K41" s="126"/>
      <c r="L41" s="83"/>
      <c r="Q41" s="83"/>
    </row>
    <row r="42" spans="4:17">
      <c r="F42" s="126"/>
      <c r="G42" s="126"/>
      <c r="H42" s="126"/>
      <c r="I42" s="126"/>
      <c r="J42" s="126"/>
      <c r="K42" s="126"/>
      <c r="L42" s="83"/>
      <c r="Q42" s="83"/>
    </row>
    <row r="43" spans="4:17">
      <c r="K43" s="126"/>
      <c r="L43" s="83"/>
      <c r="Q43" s="83"/>
    </row>
    <row r="44" spans="4:17">
      <c r="K44" s="126"/>
      <c r="L44" s="83"/>
      <c r="Q44" s="83"/>
    </row>
    <row r="45" spans="4:17">
      <c r="K45" s="83"/>
      <c r="L45" s="83"/>
      <c r="Q45" s="83"/>
    </row>
    <row r="46" spans="4:17">
      <c r="K46" s="83"/>
      <c r="L46" s="83"/>
      <c r="Q46" s="83"/>
    </row>
    <row r="47" spans="4:17">
      <c r="K47" s="83"/>
      <c r="L47" s="83"/>
      <c r="Q47" s="83"/>
    </row>
    <row r="48" spans="4:17">
      <c r="K48" s="83"/>
      <c r="L48" s="83"/>
      <c r="Q48" s="83"/>
    </row>
    <row r="49" spans="11:17">
      <c r="K49" s="83"/>
      <c r="L49" s="83"/>
      <c r="Q49" s="83"/>
    </row>
    <row r="50" spans="11:17">
      <c r="K50" s="83"/>
      <c r="L50" s="83"/>
      <c r="Q50" s="83"/>
    </row>
    <row r="51" spans="11:17">
      <c r="K51" s="83"/>
      <c r="L51" s="83"/>
      <c r="Q51" s="83"/>
    </row>
    <row r="52" spans="11:17">
      <c r="K52" s="83"/>
      <c r="L52" s="83"/>
      <c r="Q52" s="83"/>
    </row>
    <row r="53" spans="11:17">
      <c r="K53" s="83"/>
      <c r="L53" s="83"/>
      <c r="Q53" s="83"/>
    </row>
    <row r="54" spans="11:17">
      <c r="K54" s="83"/>
      <c r="L54" s="83"/>
      <c r="Q54" s="83"/>
    </row>
    <row r="55" spans="11:17">
      <c r="K55" s="83"/>
      <c r="L55" s="83"/>
      <c r="Q55" s="83"/>
    </row>
    <row r="56" spans="11:17">
      <c r="K56" s="83"/>
      <c r="L56" s="83"/>
      <c r="Q56" s="83"/>
    </row>
    <row r="57" spans="11:17">
      <c r="K57" s="83"/>
      <c r="L57" s="83"/>
      <c r="Q57" s="83"/>
    </row>
    <row r="58" spans="11:17">
      <c r="K58" s="83"/>
      <c r="L58" s="83"/>
      <c r="Q58" s="83"/>
    </row>
    <row r="59" spans="11:17">
      <c r="K59" s="83"/>
      <c r="L59" s="83"/>
      <c r="Q59" s="83"/>
    </row>
    <row r="60" spans="11:17">
      <c r="K60" s="83"/>
      <c r="L60" s="83"/>
      <c r="Q60" s="83"/>
    </row>
    <row r="61" spans="11:17">
      <c r="K61" s="83"/>
      <c r="L61" s="83"/>
      <c r="Q61" s="83"/>
    </row>
    <row r="62" spans="11:17">
      <c r="K62" s="83"/>
      <c r="L62" s="83"/>
      <c r="Q62" s="83"/>
    </row>
    <row r="63" spans="11:17">
      <c r="K63" s="83"/>
      <c r="L63" s="83"/>
      <c r="Q63" s="83"/>
    </row>
    <row r="64" spans="11:17">
      <c r="K64" s="83"/>
      <c r="L64" s="83"/>
      <c r="Q64" s="83"/>
    </row>
    <row r="65" spans="11:17">
      <c r="K65" s="83"/>
      <c r="L65" s="83"/>
      <c r="Q65" s="83"/>
    </row>
    <row r="66" spans="11:17">
      <c r="K66" s="83"/>
      <c r="L66" s="83"/>
      <c r="Q66" s="83"/>
    </row>
    <row r="67" spans="11:17">
      <c r="K67" s="83"/>
      <c r="L67" s="83"/>
      <c r="Q67" s="83"/>
    </row>
    <row r="68" spans="11:17">
      <c r="K68" s="83"/>
      <c r="L68" s="83"/>
      <c r="Q68" s="83"/>
    </row>
    <row r="69" spans="11:17">
      <c r="K69" s="83"/>
      <c r="L69" s="83"/>
      <c r="Q69" s="83"/>
    </row>
    <row r="70" spans="11:17">
      <c r="K70" s="83"/>
      <c r="L70" s="83"/>
      <c r="Q70" s="83"/>
    </row>
    <row r="71" spans="11:17">
      <c r="K71" s="83"/>
      <c r="L71" s="83"/>
      <c r="Q71" s="83"/>
    </row>
    <row r="72" spans="11:17">
      <c r="K72" s="83"/>
      <c r="L72" s="83"/>
      <c r="Q72" s="83"/>
    </row>
    <row r="73" spans="11:17">
      <c r="K73" s="83"/>
      <c r="L73" s="83"/>
      <c r="Q73" s="83"/>
    </row>
    <row r="74" spans="11:17">
      <c r="K74" s="83"/>
      <c r="L74" s="83"/>
      <c r="Q74" s="83"/>
    </row>
    <row r="75" spans="11:17">
      <c r="K75" s="83"/>
      <c r="L75" s="83"/>
      <c r="Q75" s="83"/>
    </row>
    <row r="76" spans="11:17">
      <c r="K76" s="83"/>
      <c r="L76" s="83"/>
      <c r="Q76" s="83"/>
    </row>
    <row r="77" spans="11:17">
      <c r="K77" s="83"/>
      <c r="L77" s="83"/>
      <c r="Q77" s="83"/>
    </row>
    <row r="78" spans="11:17">
      <c r="K78" s="83"/>
      <c r="L78" s="83"/>
      <c r="Q78" s="83"/>
    </row>
    <row r="79" spans="11:17">
      <c r="K79" s="83"/>
      <c r="L79" s="83"/>
      <c r="Q79" s="83"/>
    </row>
    <row r="80" spans="11:17">
      <c r="K80" s="83"/>
      <c r="L80" s="83"/>
      <c r="Q80" s="83"/>
    </row>
    <row r="81" spans="11:17">
      <c r="K81" s="83"/>
      <c r="L81" s="83"/>
      <c r="Q81" s="83"/>
    </row>
    <row r="82" spans="11:17">
      <c r="K82" s="83"/>
      <c r="L82" s="83"/>
      <c r="Q82" s="83"/>
    </row>
    <row r="83" spans="11:17">
      <c r="K83" s="83"/>
      <c r="L83" s="83"/>
      <c r="Q83" s="83"/>
    </row>
    <row r="84" spans="11:17">
      <c r="K84" s="83"/>
      <c r="L84" s="83"/>
      <c r="Q84" s="83"/>
    </row>
    <row r="85" spans="11:17">
      <c r="K85" s="83"/>
      <c r="L85" s="83"/>
      <c r="Q85" s="83"/>
    </row>
    <row r="86" spans="11:17">
      <c r="K86" s="83"/>
      <c r="L86" s="83"/>
      <c r="Q86" s="83"/>
    </row>
    <row r="87" spans="11:17">
      <c r="K87" s="83"/>
      <c r="L87" s="83"/>
      <c r="Q87" s="83"/>
    </row>
    <row r="88" spans="11:17">
      <c r="K88" s="83"/>
      <c r="L88" s="83"/>
      <c r="Q88" s="83"/>
    </row>
    <row r="89" spans="11:17">
      <c r="K89" s="83"/>
      <c r="L89" s="83"/>
      <c r="Q89" s="83"/>
    </row>
    <row r="90" spans="11:17">
      <c r="K90" s="83"/>
      <c r="L90" s="83"/>
      <c r="M90" s="84"/>
      <c r="N90" s="83"/>
      <c r="O90" s="83"/>
      <c r="P90" s="83"/>
      <c r="Q90" s="83"/>
    </row>
    <row r="91" spans="11:17">
      <c r="K91" s="83"/>
      <c r="L91" s="83"/>
      <c r="M91" s="83"/>
      <c r="N91" s="83"/>
      <c r="O91" s="83"/>
      <c r="P91" s="83"/>
      <c r="Q91" s="83"/>
    </row>
    <row r="92" spans="11:17">
      <c r="K92" s="83"/>
      <c r="L92" s="83"/>
      <c r="M92" s="83"/>
      <c r="N92" s="83"/>
      <c r="O92" s="83"/>
      <c r="P92" s="83"/>
      <c r="Q92" s="83"/>
    </row>
  </sheetData>
  <dataConsolidate/>
  <mergeCells count="10">
    <mergeCell ref="D29:J29"/>
    <mergeCell ref="D23:I23"/>
    <mergeCell ref="D17:F17"/>
    <mergeCell ref="D28:J28"/>
    <mergeCell ref="B2:J2"/>
    <mergeCell ref="D3:H3"/>
    <mergeCell ref="D15:F15"/>
    <mergeCell ref="D4:I4"/>
    <mergeCell ref="D21:I21"/>
    <mergeCell ref="I5:J5"/>
  </mergeCells>
  <phoneticPr fontId="6" type="noConversion"/>
  <dataValidations count="1">
    <dataValidation type="decimal" operator="lessThan" allowBlank="1" showInputMessage="1" showErrorMessage="1" error="This value must be less than $.050/kWhr." sqref="I15">
      <formula1>0.5</formula1>
    </dataValidation>
  </dataValidations>
  <pageMargins left="0.75" right="0.75" top="1" bottom="1" header="0.5" footer="0.5"/>
  <pageSetup scale="76" fitToHeight="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7</xdr:col>
                    <xdr:colOff>19050</xdr:colOff>
                    <xdr:row>14</xdr:row>
                    <xdr:rowOff>9525</xdr:rowOff>
                  </from>
                  <to>
                    <xdr:col>7</xdr:col>
                    <xdr:colOff>1162050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7</xdr:col>
                    <xdr:colOff>19050</xdr:colOff>
                    <xdr:row>14</xdr:row>
                    <xdr:rowOff>200025</xdr:rowOff>
                  </from>
                  <to>
                    <xdr:col>7</xdr:col>
                    <xdr:colOff>1162050</xdr:colOff>
                    <xdr:row>14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Drop Down 9">
              <controlPr defaultSize="0" autoLine="0" autoPict="0">
                <anchor moveWithCells="1">
                  <from>
                    <xdr:col>7</xdr:col>
                    <xdr:colOff>9525</xdr:colOff>
                    <xdr:row>15</xdr:row>
                    <xdr:rowOff>104775</xdr:rowOff>
                  </from>
                  <to>
                    <xdr:col>7</xdr:col>
                    <xdr:colOff>1181100</xdr:colOff>
                    <xdr:row>16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0"/>
    <pageSetUpPr fitToPage="1"/>
  </sheetPr>
  <dimension ref="B1:I22"/>
  <sheetViews>
    <sheetView showGridLines="0" zoomScaleNormal="100" zoomScaleSheetLayoutView="100" workbookViewId="0">
      <selection activeCell="C21" sqref="C21"/>
    </sheetView>
  </sheetViews>
  <sheetFormatPr defaultRowHeight="12.75"/>
  <cols>
    <col min="1" max="1" width="1.140625" customWidth="1"/>
    <col min="2" max="2" width="4.28515625" style="122" customWidth="1"/>
    <col min="3" max="3" width="16.140625" customWidth="1"/>
    <col min="4" max="4" width="63" customWidth="1"/>
    <col min="5" max="5" width="11.42578125" customWidth="1"/>
    <col min="7" max="7" width="2.42578125" style="2" customWidth="1"/>
    <col min="8" max="8" width="5.28515625" customWidth="1"/>
  </cols>
  <sheetData>
    <row r="1" spans="2:9" ht="4.5" customHeight="1" thickBot="1">
      <c r="E1" s="16"/>
      <c r="H1" s="2"/>
      <c r="I1" s="2"/>
    </row>
    <row r="2" spans="2:9" ht="27" customHeight="1">
      <c r="B2" s="252" t="s">
        <v>0</v>
      </c>
      <c r="C2" s="253"/>
      <c r="D2" s="253"/>
      <c r="E2" s="253"/>
      <c r="F2" s="253"/>
      <c r="G2" s="254"/>
      <c r="H2" s="2"/>
      <c r="I2" s="2"/>
    </row>
    <row r="3" spans="2:9" s="26" customFormat="1" ht="15">
      <c r="B3" s="236"/>
      <c r="C3" s="265" t="s">
        <v>109</v>
      </c>
      <c r="D3" s="265"/>
      <c r="E3" s="265"/>
      <c r="F3" s="265"/>
      <c r="G3" s="266"/>
      <c r="H3" s="9"/>
      <c r="I3" s="9"/>
    </row>
    <row r="4" spans="2:9" ht="44.25" customHeight="1">
      <c r="B4" s="1"/>
      <c r="C4" s="264" t="s">
        <v>140</v>
      </c>
      <c r="D4" s="264"/>
      <c r="E4" s="264"/>
      <c r="F4" s="264"/>
      <c r="G4" s="3"/>
      <c r="H4" s="2"/>
      <c r="I4" s="2"/>
    </row>
    <row r="5" spans="2:9" ht="13.5" thickBot="1">
      <c r="B5" s="1"/>
      <c r="C5" s="52"/>
      <c r="D5" s="52" t="s">
        <v>102</v>
      </c>
      <c r="E5" s="6"/>
      <c r="F5" s="235" t="s">
        <v>175</v>
      </c>
      <c r="G5" s="3"/>
      <c r="H5" s="2"/>
      <c r="I5" s="2"/>
    </row>
    <row r="6" spans="2:9" ht="13.5" customHeight="1" thickBot="1">
      <c r="B6" s="1"/>
      <c r="C6" s="237" t="s">
        <v>1</v>
      </c>
      <c r="D6" s="229" t="s">
        <v>187</v>
      </c>
      <c r="E6" s="2"/>
      <c r="F6" s="109">
        <v>15</v>
      </c>
      <c r="G6" s="3"/>
      <c r="H6" s="2"/>
      <c r="I6" s="2"/>
    </row>
    <row r="7" spans="2:9" ht="13.5" thickBot="1">
      <c r="B7" s="1"/>
      <c r="C7" s="267" t="s">
        <v>2</v>
      </c>
      <c r="D7" s="268" t="s">
        <v>188</v>
      </c>
      <c r="E7" s="2"/>
      <c r="F7" s="109">
        <v>30</v>
      </c>
      <c r="G7" s="3"/>
      <c r="H7" s="2"/>
      <c r="I7" s="2"/>
    </row>
    <row r="8" spans="2:9">
      <c r="B8" s="1"/>
      <c r="C8" s="267"/>
      <c r="D8" s="269"/>
      <c r="E8" s="2"/>
      <c r="F8" s="110"/>
      <c r="G8" s="3"/>
    </row>
    <row r="9" spans="2:9" ht="13.5" thickBot="1">
      <c r="B9" s="1"/>
      <c r="C9" s="237"/>
      <c r="D9" s="53" t="s">
        <v>97</v>
      </c>
      <c r="E9" s="2"/>
      <c r="F9" s="110"/>
      <c r="G9" s="3"/>
    </row>
    <row r="10" spans="2:9" ht="13.5" thickBot="1">
      <c r="B10" s="1"/>
      <c r="C10" s="237" t="s">
        <v>103</v>
      </c>
      <c r="D10" s="229" t="s">
        <v>189</v>
      </c>
      <c r="E10" s="2"/>
      <c r="F10" s="109">
        <v>15</v>
      </c>
      <c r="G10" s="3"/>
    </row>
    <row r="11" spans="2:9" ht="13.5" thickBot="1">
      <c r="B11" s="1"/>
      <c r="C11" s="267" t="s">
        <v>2</v>
      </c>
      <c r="D11" s="268" t="s">
        <v>190</v>
      </c>
      <c r="E11" s="2"/>
      <c r="F11" s="109">
        <v>30</v>
      </c>
      <c r="G11" s="3"/>
    </row>
    <row r="12" spans="2:9">
      <c r="B12" s="1"/>
      <c r="C12" s="267"/>
      <c r="D12" s="269"/>
      <c r="E12" s="2"/>
      <c r="F12" s="10"/>
      <c r="G12" s="3"/>
    </row>
    <row r="13" spans="2:9" ht="13.5" thickBot="1">
      <c r="B13" s="1"/>
      <c r="C13" s="237"/>
      <c r="D13" s="8"/>
      <c r="E13" s="2"/>
      <c r="F13" s="2"/>
      <c r="G13" s="3"/>
    </row>
    <row r="14" spans="2:9" ht="51" customHeight="1" thickBot="1">
      <c r="B14" s="1"/>
      <c r="C14" s="261" t="s">
        <v>116</v>
      </c>
      <c r="D14" s="262"/>
      <c r="E14" s="262"/>
      <c r="F14" s="263"/>
      <c r="G14" s="3"/>
    </row>
    <row r="15" spans="2:9" ht="13.5" thickBot="1">
      <c r="B15" s="4"/>
      <c r="C15" s="238"/>
      <c r="D15" s="5"/>
      <c r="E15" s="5"/>
      <c r="F15" s="5"/>
      <c r="G15" s="64"/>
    </row>
    <row r="16" spans="2:9">
      <c r="E16" s="9"/>
      <c r="F16" s="9"/>
      <c r="G16" s="9"/>
    </row>
    <row r="17" spans="3:6">
      <c r="C17" s="18" t="s">
        <v>4</v>
      </c>
    </row>
    <row r="18" spans="3:6">
      <c r="C18" s="51" t="s">
        <v>94</v>
      </c>
      <c r="D18" s="26"/>
      <c r="E18" s="26"/>
      <c r="F18" s="26"/>
    </row>
    <row r="19" spans="3:6">
      <c r="C19" s="51" t="s">
        <v>93</v>
      </c>
      <c r="D19" s="26"/>
      <c r="E19" s="26"/>
      <c r="F19" s="26"/>
    </row>
    <row r="20" spans="3:6">
      <c r="C20" s="51"/>
      <c r="D20" s="26"/>
      <c r="E20" s="26"/>
      <c r="F20" s="26"/>
    </row>
    <row r="21" spans="3:6">
      <c r="C21" s="19" t="s">
        <v>201</v>
      </c>
    </row>
    <row r="22" spans="3:6">
      <c r="C22" s="19" t="s">
        <v>139</v>
      </c>
    </row>
  </sheetData>
  <mergeCells count="8">
    <mergeCell ref="B2:G2"/>
    <mergeCell ref="C14:F14"/>
    <mergeCell ref="C4:F4"/>
    <mergeCell ref="C3:G3"/>
    <mergeCell ref="C11:C12"/>
    <mergeCell ref="D11:D12"/>
    <mergeCell ref="C7:C8"/>
    <mergeCell ref="D7:D8"/>
  </mergeCells>
  <phoneticPr fontId="6" type="noConversion"/>
  <pageMargins left="0.75" right="0.75" top="1" bottom="1" header="0.5" footer="0.5"/>
  <pageSetup scale="7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0"/>
    <pageSetUpPr fitToPage="1"/>
  </sheetPr>
  <dimension ref="B1:K26"/>
  <sheetViews>
    <sheetView showGridLines="0" zoomScaleNormal="100" zoomScaleSheetLayoutView="100" workbookViewId="0">
      <selection activeCell="H11" sqref="H11"/>
    </sheetView>
  </sheetViews>
  <sheetFormatPr defaultRowHeight="12.75"/>
  <cols>
    <col min="1" max="1" width="1.140625" customWidth="1"/>
    <col min="2" max="2" width="4.7109375" style="122" customWidth="1"/>
    <col min="3" max="3" width="33.5703125" customWidth="1"/>
    <col min="4" max="4" width="41.5703125" customWidth="1"/>
    <col min="5" max="5" width="9.42578125" customWidth="1"/>
    <col min="6" max="6" width="6.140625" customWidth="1"/>
    <col min="7" max="7" width="3" customWidth="1"/>
  </cols>
  <sheetData>
    <row r="1" spans="2:6" ht="4.5" customHeight="1" thickBot="1"/>
    <row r="2" spans="2:6" ht="25.5" customHeight="1">
      <c r="B2" s="252" t="s">
        <v>0</v>
      </c>
      <c r="C2" s="253"/>
      <c r="D2" s="253"/>
      <c r="E2" s="253"/>
      <c r="F2" s="254"/>
    </row>
    <row r="3" spans="2:6" ht="15">
      <c r="B3" s="1"/>
      <c r="C3" s="265" t="s">
        <v>118</v>
      </c>
      <c r="D3" s="265"/>
      <c r="E3" s="265"/>
      <c r="F3" s="266"/>
    </row>
    <row r="4" spans="2:6" ht="38.25" customHeight="1">
      <c r="B4" s="1"/>
      <c r="C4" s="264" t="s">
        <v>153</v>
      </c>
      <c r="D4" s="264"/>
      <c r="E4" s="228" t="s">
        <v>119</v>
      </c>
      <c r="F4" s="3"/>
    </row>
    <row r="5" spans="2:6" ht="13.5" customHeight="1">
      <c r="B5" s="1"/>
      <c r="C5" s="273" t="s">
        <v>120</v>
      </c>
      <c r="D5" s="231" t="s">
        <v>191</v>
      </c>
      <c r="E5" s="230">
        <f>+'[1]Monitor Calcs'!$D$17</f>
        <v>34.911149999999999</v>
      </c>
      <c r="F5" s="3"/>
    </row>
    <row r="6" spans="2:6" s="122" customFormat="1" ht="13.5" customHeight="1">
      <c r="B6" s="1"/>
      <c r="C6" s="273"/>
      <c r="D6" s="231" t="s">
        <v>192</v>
      </c>
      <c r="E6" s="230">
        <f>+'[1]Monitor Calcs'!$D$24</f>
        <v>2</v>
      </c>
      <c r="F6" s="3"/>
    </row>
    <row r="7" spans="2:6">
      <c r="B7" s="1"/>
      <c r="C7" s="273"/>
      <c r="D7" s="231" t="s">
        <v>193</v>
      </c>
      <c r="E7" s="230">
        <f>+'[1]Monitor Calcs'!$D$25</f>
        <v>1</v>
      </c>
      <c r="F7" s="3"/>
    </row>
    <row r="8" spans="2:6">
      <c r="B8" s="1"/>
      <c r="C8" s="273" t="s">
        <v>121</v>
      </c>
      <c r="D8" s="232" t="s">
        <v>194</v>
      </c>
      <c r="E8" s="230">
        <f>+'[1]Desktop Calcs'!$C$11</f>
        <v>48.11</v>
      </c>
      <c r="F8" s="3"/>
    </row>
    <row r="9" spans="2:6" s="122" customFormat="1">
      <c r="B9" s="1"/>
      <c r="C9" s="273"/>
      <c r="D9" s="231" t="s">
        <v>195</v>
      </c>
      <c r="E9" s="230">
        <f>+'[1]Desktop Calcs'!$D$11</f>
        <v>2.31</v>
      </c>
      <c r="F9" s="3"/>
    </row>
    <row r="10" spans="2:6">
      <c r="B10" s="1"/>
      <c r="C10" s="273"/>
      <c r="D10" s="231" t="s">
        <v>196</v>
      </c>
      <c r="E10" s="230">
        <f>+'[1]Desktop Calcs'!$E$11</f>
        <v>0.96</v>
      </c>
      <c r="F10" s="3"/>
    </row>
    <row r="11" spans="2:6" ht="13.5" customHeight="1">
      <c r="B11" s="1"/>
      <c r="C11" s="273" t="s">
        <v>159</v>
      </c>
      <c r="D11" s="233" t="s">
        <v>197</v>
      </c>
      <c r="E11" s="230">
        <f>+'[1]Laptop Calcs'!$C$11</f>
        <v>14.82</v>
      </c>
      <c r="F11" s="3"/>
    </row>
    <row r="12" spans="2:6" s="122" customFormat="1" ht="13.5" customHeight="1">
      <c r="B12" s="1"/>
      <c r="C12" s="273"/>
      <c r="D12" s="233" t="s">
        <v>198</v>
      </c>
      <c r="E12" s="230">
        <f>+'[1]Laptop Calcs'!$D$11</f>
        <v>1.21</v>
      </c>
      <c r="F12" s="3"/>
    </row>
    <row r="13" spans="2:6" ht="13.5" customHeight="1">
      <c r="B13" s="1"/>
      <c r="C13" s="273"/>
      <c r="D13" s="231" t="s">
        <v>199</v>
      </c>
      <c r="E13" s="230">
        <f>+'[1]Laptop Calcs'!$E$11</f>
        <v>0.60599999999999998</v>
      </c>
      <c r="F13" s="3"/>
    </row>
    <row r="14" spans="2:6">
      <c r="B14" s="1"/>
      <c r="C14" s="2"/>
      <c r="D14" s="127"/>
      <c r="E14" s="2"/>
      <c r="F14" s="77"/>
    </row>
    <row r="15" spans="2:6" ht="13.5" thickBot="1">
      <c r="B15" s="1"/>
      <c r="C15" s="235"/>
      <c r="D15" s="7"/>
      <c r="E15" s="2"/>
      <c r="F15" s="77"/>
    </row>
    <row r="16" spans="2:6" ht="40.5" customHeight="1" thickBot="1">
      <c r="B16" s="1"/>
      <c r="C16" s="270" t="s">
        <v>117</v>
      </c>
      <c r="D16" s="271"/>
      <c r="E16" s="272"/>
      <c r="F16" s="3"/>
    </row>
    <row r="17" spans="2:11" ht="13.5" thickBot="1">
      <c r="B17" s="4"/>
      <c r="C17" s="5"/>
      <c r="D17" s="5"/>
      <c r="E17" s="5"/>
      <c r="F17" s="64"/>
    </row>
    <row r="18" spans="2:11">
      <c r="E18" s="9"/>
      <c r="F18" s="9"/>
    </row>
    <row r="19" spans="2:11">
      <c r="C19" s="18" t="s">
        <v>4</v>
      </c>
      <c r="E19" s="9"/>
      <c r="F19" s="9"/>
    </row>
    <row r="20" spans="2:11">
      <c r="C20" s="51" t="s">
        <v>206</v>
      </c>
      <c r="I20" s="2"/>
      <c r="J20" s="2"/>
      <c r="K20" s="2"/>
    </row>
    <row r="21" spans="2:11">
      <c r="C21" s="19" t="s">
        <v>200</v>
      </c>
      <c r="E21" s="61"/>
      <c r="F21" s="61"/>
      <c r="I21" s="2"/>
      <c r="J21" s="2"/>
      <c r="K21" s="2"/>
    </row>
    <row r="22" spans="2:11">
      <c r="C22" s="51" t="s">
        <v>158</v>
      </c>
      <c r="D22" s="175"/>
      <c r="E22" s="61"/>
      <c r="F22" s="61"/>
      <c r="I22" s="191"/>
      <c r="J22" s="191"/>
      <c r="K22" s="191"/>
    </row>
    <row r="23" spans="2:11">
      <c r="C23" s="173" t="s">
        <v>120</v>
      </c>
      <c r="D23" s="176" t="s">
        <v>157</v>
      </c>
      <c r="E23" s="177"/>
      <c r="I23" s="191"/>
      <c r="J23" s="191"/>
      <c r="K23" s="191"/>
    </row>
    <row r="24" spans="2:11">
      <c r="C24" s="174" t="s">
        <v>154</v>
      </c>
      <c r="D24" s="176" t="s">
        <v>155</v>
      </c>
      <c r="E24" s="177"/>
      <c r="I24" s="2"/>
      <c r="J24" s="2"/>
      <c r="K24" s="2"/>
    </row>
    <row r="25" spans="2:11">
      <c r="C25" s="174" t="s">
        <v>160</v>
      </c>
      <c r="D25" s="176" t="s">
        <v>156</v>
      </c>
      <c r="E25" s="177"/>
    </row>
    <row r="26" spans="2:11">
      <c r="C26" s="2"/>
      <c r="D26" s="2"/>
      <c r="E26" s="2"/>
    </row>
  </sheetData>
  <mergeCells count="7">
    <mergeCell ref="B2:F2"/>
    <mergeCell ref="C16:E16"/>
    <mergeCell ref="C11:C13"/>
    <mergeCell ref="C3:F3"/>
    <mergeCell ref="C5:C7"/>
    <mergeCell ref="C4:D4"/>
    <mergeCell ref="C8:C10"/>
  </mergeCells>
  <phoneticPr fontId="6" type="noConversion"/>
  <pageMargins left="0.75" right="0.75" top="1" bottom="1" header="0.5" footer="0.5"/>
  <pageSetup scale="66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DED16CAD-C3D5-452B-9E25-0A8D58692DB6}">
            <xm:f>'C:\Users\Mike Walker\AppData\Local\Microsoft\Windows\INetCache\Content.Outlook\NCM2FGYS\[Office Equipment Calculator.xlsx]INPUTS'!#REF!=0</xm:f>
            <x14:dxf>
              <font>
                <color theme="0" tint="-0.14996795556505021"/>
              </font>
            </x14:dxf>
          </x14:cfRule>
          <xm:sqref>I22:K22</xm:sqref>
        </x14:conditionalFormatting>
        <x14:conditionalFormatting xmlns:xm="http://schemas.microsoft.com/office/excel/2006/main">
          <x14:cfRule type="expression" priority="1" stopIfTrue="1" id="{A3E2B0CC-7741-41EF-9C83-C4E2172B3BC1}">
            <xm:f>'C:\Users\Mike Walker\AppData\Local\Microsoft\Windows\INetCache\Content.Outlook\NCM2FGYS\[Office Equipment Calculator.xlsx]INPUTS'!#REF!=0</xm:f>
            <x14:dxf>
              <font>
                <color theme="0" tint="-0.14996795556505021"/>
              </font>
            </x14:dxf>
          </x14:cfRule>
          <xm:sqref>I23:K23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10"/>
    <pageSetUpPr fitToPage="1"/>
  </sheetPr>
  <dimension ref="B1:J48"/>
  <sheetViews>
    <sheetView showGridLines="0" zoomScaleNormal="100" zoomScaleSheetLayoutView="100" workbookViewId="0">
      <selection activeCell="C11" sqref="C11"/>
    </sheetView>
  </sheetViews>
  <sheetFormatPr defaultRowHeight="12.75"/>
  <cols>
    <col min="1" max="1" width="3" customWidth="1"/>
    <col min="2" max="2" width="5.7109375" style="122" customWidth="1"/>
    <col min="3" max="3" width="90.28515625" customWidth="1"/>
    <col min="6" max="6" width="6" customWidth="1"/>
    <col min="7" max="7" width="4.42578125" customWidth="1"/>
    <col min="9" max="9" width="16.140625" customWidth="1"/>
    <col min="10" max="10" width="15.28515625" customWidth="1"/>
    <col min="11" max="11" width="14.140625" customWidth="1"/>
    <col min="12" max="12" width="16.42578125" bestFit="1" customWidth="1"/>
    <col min="13" max="13" width="15.5703125" customWidth="1"/>
    <col min="14" max="14" width="16.42578125" bestFit="1" customWidth="1"/>
    <col min="15" max="16" width="16.42578125" customWidth="1"/>
    <col min="17" max="17" width="15" bestFit="1" customWidth="1"/>
    <col min="19" max="19" width="12.28515625" bestFit="1" customWidth="1"/>
    <col min="20" max="20" width="13.42578125" bestFit="1" customWidth="1"/>
    <col min="21" max="22" width="15" bestFit="1" customWidth="1"/>
  </cols>
  <sheetData>
    <row r="1" spans="2:9" ht="4.5" customHeight="1" thickBot="1">
      <c r="E1" s="16"/>
    </row>
    <row r="2" spans="2:9" ht="25.5" customHeight="1">
      <c r="B2" s="252" t="s">
        <v>0</v>
      </c>
      <c r="C2" s="253"/>
      <c r="D2" s="253"/>
      <c r="E2" s="253"/>
      <c r="F2" s="254"/>
      <c r="I2" s="56"/>
    </row>
    <row r="3" spans="2:9" ht="15">
      <c r="B3" s="1"/>
      <c r="C3" s="265" t="s">
        <v>110</v>
      </c>
      <c r="D3" s="265"/>
      <c r="E3" s="265"/>
      <c r="F3" s="266"/>
    </row>
    <row r="4" spans="2:9" ht="27.75" customHeight="1" thickBot="1">
      <c r="B4" s="1"/>
      <c r="C4" s="234" t="s">
        <v>108</v>
      </c>
      <c r="D4" s="2"/>
      <c r="E4" s="112"/>
      <c r="F4" s="113"/>
      <c r="G4" s="274" t="str">
        <f>IF(E6*52&lt;E7,"Error! The number of vacation days must not exceed the annual hours of work!","")</f>
        <v/>
      </c>
      <c r="H4" s="275"/>
    </row>
    <row r="5" spans="2:9" ht="13.5" thickBot="1">
      <c r="B5" s="1"/>
      <c r="C5" s="229" t="s">
        <v>202</v>
      </c>
      <c r="D5" s="2"/>
      <c r="E5" s="63">
        <v>8</v>
      </c>
      <c r="F5" s="3"/>
      <c r="G5" s="274"/>
      <c r="H5" s="275"/>
    </row>
    <row r="6" spans="2:9" ht="13.5" thickBot="1">
      <c r="B6" s="1"/>
      <c r="C6" s="229" t="s">
        <v>203</v>
      </c>
      <c r="D6" s="2"/>
      <c r="E6" s="63">
        <v>5</v>
      </c>
      <c r="F6" s="3"/>
      <c r="G6" s="274"/>
      <c r="H6" s="275"/>
    </row>
    <row r="7" spans="2:9" ht="13.5" thickBot="1">
      <c r="B7" s="1"/>
      <c r="C7" s="268" t="s">
        <v>204</v>
      </c>
      <c r="D7" s="2"/>
      <c r="E7" s="111">
        <v>22.454285714285888</v>
      </c>
      <c r="F7" s="3"/>
      <c r="G7" s="274"/>
      <c r="H7" s="275"/>
    </row>
    <row r="8" spans="2:9" ht="13.5" thickBot="1">
      <c r="B8" s="1"/>
      <c r="C8" s="277"/>
      <c r="D8" s="2"/>
      <c r="E8" s="89"/>
      <c r="F8" s="3"/>
      <c r="G8" s="274"/>
      <c r="H8" s="275"/>
    </row>
    <row r="9" spans="2:9" ht="13.5" thickBot="1">
      <c r="B9" s="1"/>
      <c r="C9" s="239" t="s">
        <v>205</v>
      </c>
      <c r="D9" s="2"/>
      <c r="E9" s="98">
        <v>0.04</v>
      </c>
      <c r="F9" s="3"/>
      <c r="G9" s="274"/>
      <c r="H9" s="275"/>
    </row>
    <row r="10" spans="2:9" ht="13.5" thickBot="1">
      <c r="B10" s="1"/>
      <c r="C10" s="2"/>
      <c r="D10" s="2"/>
      <c r="E10" s="2"/>
      <c r="F10" s="3"/>
    </row>
    <row r="11" spans="2:9" ht="42.75" customHeight="1" thickBot="1">
      <c r="B11" s="1"/>
      <c r="C11" s="118" t="s">
        <v>116</v>
      </c>
      <c r="D11" s="94"/>
      <c r="E11" s="94"/>
      <c r="F11" s="95"/>
    </row>
    <row r="12" spans="2:9" ht="13.5" thickBot="1">
      <c r="B12" s="4"/>
      <c r="C12" s="73"/>
      <c r="D12" s="5"/>
      <c r="E12" s="5"/>
      <c r="F12" s="64"/>
    </row>
    <row r="13" spans="2:9">
      <c r="C13" s="26"/>
      <c r="D13" s="9"/>
      <c r="E13" s="9"/>
      <c r="F13" s="9"/>
    </row>
    <row r="14" spans="2:9">
      <c r="C14" s="18" t="s">
        <v>4</v>
      </c>
    </row>
    <row r="15" spans="2:9" ht="25.5" customHeight="1">
      <c r="C15" s="276" t="s">
        <v>107</v>
      </c>
      <c r="D15" s="276"/>
      <c r="E15" s="276"/>
      <c r="F15" s="276"/>
    </row>
    <row r="16" spans="2:9">
      <c r="C16" s="19"/>
    </row>
    <row r="17" spans="3:3">
      <c r="C17" s="19"/>
    </row>
    <row r="21" spans="3:3">
      <c r="C21" s="60"/>
    </row>
    <row r="36" spans="7:10">
      <c r="G36" s="22"/>
    </row>
    <row r="38" spans="7:10">
      <c r="G38" s="22"/>
    </row>
    <row r="39" spans="7:10">
      <c r="G39" s="22"/>
    </row>
    <row r="40" spans="7:10">
      <c r="G40" s="22"/>
    </row>
    <row r="41" spans="7:10">
      <c r="G41" s="22"/>
    </row>
    <row r="42" spans="7:10">
      <c r="G42" s="22"/>
    </row>
    <row r="43" spans="7:10" ht="14.25">
      <c r="G43" s="25"/>
    </row>
    <row r="44" spans="7:10">
      <c r="G44" s="22"/>
    </row>
    <row r="48" spans="7:10">
      <c r="H48" s="24"/>
      <c r="I48" s="24"/>
      <c r="J48" s="23"/>
    </row>
  </sheetData>
  <mergeCells count="5">
    <mergeCell ref="B2:F2"/>
    <mergeCell ref="G4:H9"/>
    <mergeCell ref="C15:F15"/>
    <mergeCell ref="C3:F3"/>
    <mergeCell ref="C7:C8"/>
  </mergeCells>
  <phoneticPr fontId="6" type="noConversion"/>
  <pageMargins left="0.75" right="0.75" top="1" bottom="1" header="0.5" footer="0.5"/>
  <pageSetup scale="73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11"/>
    <pageSetUpPr fitToPage="1"/>
  </sheetPr>
  <dimension ref="B1:L31"/>
  <sheetViews>
    <sheetView showGridLines="0" zoomScaleNormal="100" zoomScaleSheetLayoutView="85" workbookViewId="0">
      <selection activeCell="C14" sqref="C14"/>
    </sheetView>
  </sheetViews>
  <sheetFormatPr defaultRowHeight="12.75"/>
  <cols>
    <col min="1" max="1" width="1.140625" customWidth="1"/>
    <col min="2" max="2" width="50.42578125" customWidth="1"/>
    <col min="3" max="8" width="11" style="11" customWidth="1"/>
    <col min="9" max="9" width="8.7109375" style="11" customWidth="1"/>
    <col min="10" max="10" width="10.140625" style="11" customWidth="1"/>
    <col min="11" max="11" width="15.140625" customWidth="1"/>
    <col min="12" max="12" width="110.140625" customWidth="1"/>
    <col min="16" max="16" width="16.140625" customWidth="1"/>
  </cols>
  <sheetData>
    <row r="1" spans="2:12" ht="4.5" customHeight="1" thickBot="1">
      <c r="F1" s="16"/>
      <c r="G1"/>
      <c r="H1"/>
    </row>
    <row r="2" spans="2:12" ht="18">
      <c r="B2" s="252" t="s">
        <v>0</v>
      </c>
      <c r="C2" s="253"/>
      <c r="D2" s="253"/>
      <c r="E2" s="253"/>
      <c r="F2" s="253"/>
      <c r="G2" s="253"/>
      <c r="H2" s="254"/>
      <c r="I2" s="12"/>
      <c r="J2" s="278" t="s">
        <v>147</v>
      </c>
      <c r="K2" s="279"/>
      <c r="L2" s="280"/>
    </row>
    <row r="3" spans="2:12" ht="15.75" customHeight="1">
      <c r="B3" s="1"/>
      <c r="C3" s="8"/>
      <c r="D3" s="8"/>
      <c r="E3" s="8"/>
      <c r="F3" s="8"/>
      <c r="G3" s="8"/>
      <c r="H3" s="13"/>
      <c r="J3" s="168">
        <v>1.54</v>
      </c>
      <c r="K3" s="169" t="s">
        <v>148</v>
      </c>
      <c r="L3" s="166" t="s">
        <v>149</v>
      </c>
    </row>
    <row r="4" spans="2:12" ht="25.5" customHeight="1">
      <c r="B4" s="285" t="s">
        <v>3</v>
      </c>
      <c r="C4" s="286"/>
      <c r="D4" s="286"/>
      <c r="E4" s="286"/>
      <c r="F4" s="286"/>
      <c r="G4" s="286"/>
      <c r="H4" s="287"/>
      <c r="J4" s="227">
        <v>2690</v>
      </c>
      <c r="K4" s="169" t="s">
        <v>150</v>
      </c>
      <c r="L4" s="170" t="s">
        <v>171</v>
      </c>
    </row>
    <row r="5" spans="2:12" ht="16.5" customHeight="1">
      <c r="B5" s="82"/>
      <c r="C5" s="8"/>
      <c r="D5" s="8"/>
      <c r="E5" s="8"/>
      <c r="F5" s="8"/>
      <c r="G5" s="8"/>
      <c r="H5" s="13"/>
      <c r="J5" s="227">
        <v>10471</v>
      </c>
      <c r="K5" s="171" t="s">
        <v>151</v>
      </c>
      <c r="L5" s="166" t="s">
        <v>152</v>
      </c>
    </row>
    <row r="6" spans="2:12" ht="14.25" customHeight="1">
      <c r="B6" s="80"/>
      <c r="C6" s="290" t="s">
        <v>167</v>
      </c>
      <c r="D6" s="290"/>
      <c r="E6" s="282" t="s">
        <v>111</v>
      </c>
      <c r="F6" s="283"/>
      <c r="G6" s="283"/>
      <c r="H6" s="284"/>
    </row>
    <row r="7" spans="2:12" ht="14.25" customHeight="1">
      <c r="B7" s="115"/>
      <c r="C7" s="290" t="s">
        <v>168</v>
      </c>
      <c r="D7" s="290" t="s">
        <v>169</v>
      </c>
      <c r="E7" s="288" t="s">
        <v>170</v>
      </c>
      <c r="F7" s="291" t="s">
        <v>173</v>
      </c>
      <c r="G7" s="292"/>
      <c r="H7" s="288"/>
    </row>
    <row r="8" spans="2:12" ht="48" customHeight="1">
      <c r="B8" s="1"/>
      <c r="C8" s="290"/>
      <c r="D8" s="290"/>
      <c r="E8" s="289"/>
      <c r="F8" s="225" t="s">
        <v>174</v>
      </c>
      <c r="G8" s="225" t="s">
        <v>112</v>
      </c>
      <c r="H8" s="225" t="s">
        <v>113</v>
      </c>
    </row>
    <row r="9" spans="2:12" ht="10.5" customHeight="1">
      <c r="B9" s="226"/>
      <c r="C9" s="194"/>
      <c r="D9" s="197"/>
      <c r="E9" s="198"/>
      <c r="F9" s="99"/>
      <c r="G9" s="199"/>
      <c r="H9" s="200"/>
    </row>
    <row r="10" spans="2:12">
      <c r="B10" s="190" t="s">
        <v>166</v>
      </c>
      <c r="C10" s="194">
        <f>'Start Here'!F9*('Scratch Work'!E2-'Scratch Work'!E3)/1000</f>
        <v>0</v>
      </c>
      <c r="D10" s="201">
        <f>C10*'Start Here'!$I$15</f>
        <v>0</v>
      </c>
      <c r="E10" s="202">
        <f>PV('Adjust - usage patterns'!$E$9,3,-D10,,0)</f>
        <v>0</v>
      </c>
      <c r="F10" s="99">
        <f>C10*$J$3*3/2000</f>
        <v>0</v>
      </c>
      <c r="G10" s="199">
        <f>F10/$J$4*2000</f>
        <v>0</v>
      </c>
      <c r="H10" s="200">
        <f>F10/$J$5*2000</f>
        <v>0</v>
      </c>
    </row>
    <row r="11" spans="2:12">
      <c r="B11" s="50" t="s">
        <v>106</v>
      </c>
      <c r="C11" s="195">
        <f>'Start Here'!F11*('Scratch Work'!F2-'Scratch Work'!F3)/1000</f>
        <v>0</v>
      </c>
      <c r="D11" s="203">
        <f>C11*'Start Here'!$I$15</f>
        <v>0</v>
      </c>
      <c r="E11" s="204">
        <f>PV('Adjust - usage patterns'!$E$9,3,-D11,,0)</f>
        <v>0</v>
      </c>
      <c r="F11" s="100">
        <f>C11*$J$3*3/2000</f>
        <v>0</v>
      </c>
      <c r="G11" s="205">
        <f>F11/$J$4*2000</f>
        <v>0</v>
      </c>
      <c r="H11" s="206">
        <f>F11/$J$5*2000</f>
        <v>0</v>
      </c>
    </row>
    <row r="12" spans="2:12">
      <c r="B12" s="97" t="s">
        <v>165</v>
      </c>
      <c r="C12" s="207">
        <f>C10+C11</f>
        <v>0</v>
      </c>
      <c r="D12" s="208">
        <f t="shared" ref="C12:H12" si="0">D10+D11</f>
        <v>0</v>
      </c>
      <c r="E12" s="209">
        <f t="shared" si="0"/>
        <v>0</v>
      </c>
      <c r="F12" s="210">
        <f t="shared" si="0"/>
        <v>0</v>
      </c>
      <c r="G12" s="211">
        <f t="shared" si="0"/>
        <v>0</v>
      </c>
      <c r="H12" s="212">
        <f t="shared" si="0"/>
        <v>0</v>
      </c>
    </row>
    <row r="13" spans="2:12" ht="10.5" customHeight="1">
      <c r="B13" s="1"/>
      <c r="C13" s="213"/>
      <c r="D13" s="214"/>
      <c r="E13" s="213"/>
      <c r="F13" s="215"/>
      <c r="G13" s="215"/>
      <c r="H13" s="214"/>
    </row>
    <row r="14" spans="2:12">
      <c r="B14" s="188" t="s">
        <v>162</v>
      </c>
      <c r="C14" s="194">
        <f>'Start Here'!F8*('Scratch Work'!C2-'Scratch Work'!C3)/1000</f>
        <v>223.28632457846157</v>
      </c>
      <c r="D14" s="201">
        <f>C14*'Start Here'!$I$15</f>
        <v>27.508875188066465</v>
      </c>
      <c r="E14" s="202">
        <f>PV('Adjust - usage patterns'!$E$9,3,-D14,,0)</f>
        <v>76.33963286856752</v>
      </c>
      <c r="F14" s="99">
        <f>C14*$J$3*3/2000</f>
        <v>0.51579140977624627</v>
      </c>
      <c r="G14" s="199">
        <f>F14/$J$4*2000</f>
        <v>0.38348803700836154</v>
      </c>
      <c r="H14" s="200">
        <f>F14/$J$5*2000</f>
        <v>9.8518080369830258E-2</v>
      </c>
    </row>
    <row r="15" spans="2:12">
      <c r="B15" s="189" t="s">
        <v>161</v>
      </c>
      <c r="C15" s="196">
        <f>'Start Here'!F10*('Scratch Work'!D2-'Scratch Work'!D3)/1000</f>
        <v>0</v>
      </c>
      <c r="D15" s="203">
        <f>C15*'Start Here'!$I$15</f>
        <v>0</v>
      </c>
      <c r="E15" s="204">
        <f>PV('Adjust - usage patterns'!$E$9,3,-D15,,0)</f>
        <v>0</v>
      </c>
      <c r="F15" s="100">
        <f>C15*$J$3*3/2000</f>
        <v>0</v>
      </c>
      <c r="G15" s="205">
        <f>F15/$J$4*2000</f>
        <v>0</v>
      </c>
      <c r="H15" s="206">
        <f>F15/$J$5*2000</f>
        <v>0</v>
      </c>
    </row>
    <row r="16" spans="2:12">
      <c r="B16" s="97" t="s">
        <v>164</v>
      </c>
      <c r="C16" s="207">
        <f t="shared" ref="C16:H16" si="1">C15+C14</f>
        <v>223.28632457846157</v>
      </c>
      <c r="D16" s="208">
        <f t="shared" si="1"/>
        <v>27.508875188066465</v>
      </c>
      <c r="E16" s="209">
        <f t="shared" si="1"/>
        <v>76.33963286856752</v>
      </c>
      <c r="F16" s="210">
        <f t="shared" si="1"/>
        <v>0.51579140977624627</v>
      </c>
      <c r="G16" s="211">
        <f t="shared" si="1"/>
        <v>0.38348803700836154</v>
      </c>
      <c r="H16" s="212">
        <f t="shared" si="1"/>
        <v>9.8518080369830258E-2</v>
      </c>
    </row>
    <row r="17" spans="2:10" ht="10.5" customHeight="1">
      <c r="B17" s="1"/>
      <c r="C17" s="194"/>
      <c r="D17" s="197"/>
      <c r="E17" s="198"/>
      <c r="F17" s="99"/>
      <c r="G17" s="199"/>
      <c r="H17" s="200"/>
    </row>
    <row r="18" spans="2:10">
      <c r="B18" s="15" t="s">
        <v>163</v>
      </c>
      <c r="C18" s="216">
        <f>C16+C12</f>
        <v>223.28632457846157</v>
      </c>
      <c r="D18" s="217">
        <f t="shared" ref="C18:H18" si="2">D16+D12</f>
        <v>27.508875188066465</v>
      </c>
      <c r="E18" s="218">
        <f t="shared" si="2"/>
        <v>76.33963286856752</v>
      </c>
      <c r="F18" s="219">
        <f t="shared" si="2"/>
        <v>0.51579140977624627</v>
      </c>
      <c r="G18" s="220">
        <f t="shared" si="2"/>
        <v>0.38348803700836154</v>
      </c>
      <c r="H18" s="221">
        <f t="shared" si="2"/>
        <v>9.8518080369830258E-2</v>
      </c>
    </row>
    <row r="19" spans="2:10" ht="11.25" customHeight="1">
      <c r="B19" s="14"/>
      <c r="C19" s="222"/>
      <c r="D19" s="223"/>
      <c r="E19" s="224"/>
      <c r="F19" s="100"/>
      <c r="G19" s="205"/>
      <c r="H19" s="206"/>
    </row>
    <row r="21" spans="2:10" s="88" customFormat="1" ht="30.75" customHeight="1">
      <c r="B21" s="281"/>
      <c r="C21" s="281"/>
      <c r="D21" s="281"/>
      <c r="E21" s="281"/>
      <c r="F21" s="281"/>
      <c r="G21" s="281"/>
      <c r="H21" s="96"/>
      <c r="I21" s="87"/>
      <c r="J21" s="87"/>
    </row>
    <row r="22" spans="2:10">
      <c r="B22" s="119"/>
    </row>
    <row r="23" spans="2:10">
      <c r="B23" s="122"/>
      <c r="D23" s="108"/>
    </row>
    <row r="24" spans="2:10">
      <c r="B24" s="122"/>
      <c r="D24" s="2"/>
    </row>
    <row r="25" spans="2:10">
      <c r="B25" s="122"/>
      <c r="C25" s="114"/>
    </row>
    <row r="26" spans="2:10">
      <c r="C26" s="163"/>
      <c r="D26" s="163"/>
    </row>
    <row r="27" spans="2:10">
      <c r="B27" s="21"/>
      <c r="C27" s="163"/>
      <c r="D27" s="163"/>
    </row>
    <row r="28" spans="2:10" ht="15.75" customHeight="1">
      <c r="B28" s="70" t="s">
        <v>60</v>
      </c>
      <c r="C28" s="165"/>
      <c r="D28" s="167"/>
      <c r="E28" s="116" t="s">
        <v>59</v>
      </c>
      <c r="F28" s="48"/>
      <c r="G28" s="48"/>
      <c r="H28" s="48"/>
    </row>
    <row r="29" spans="2:10" ht="15.75">
      <c r="B29" s="71" t="s">
        <v>104</v>
      </c>
      <c r="C29" s="164"/>
      <c r="D29" s="167"/>
      <c r="E29" s="117" t="s">
        <v>115</v>
      </c>
      <c r="F29" s="48"/>
      <c r="G29" s="48"/>
      <c r="H29" s="48"/>
    </row>
    <row r="30" spans="2:10" ht="15.75">
      <c r="B30" s="71" t="s">
        <v>105</v>
      </c>
      <c r="C30" s="164"/>
      <c r="D30" s="167"/>
      <c r="E30" s="117" t="s">
        <v>115</v>
      </c>
      <c r="F30" s="48"/>
      <c r="G30" s="48"/>
      <c r="H30" s="48"/>
    </row>
    <row r="31" spans="2:10" ht="53.25" customHeight="1">
      <c r="C31" s="163"/>
      <c r="D31" s="167"/>
    </row>
  </sheetData>
  <mergeCells count="10">
    <mergeCell ref="J2:L2"/>
    <mergeCell ref="B21:G21"/>
    <mergeCell ref="B2:H2"/>
    <mergeCell ref="E6:H6"/>
    <mergeCell ref="B4:H4"/>
    <mergeCell ref="E7:E8"/>
    <mergeCell ref="C6:D6"/>
    <mergeCell ref="F7:H7"/>
    <mergeCell ref="C7:C8"/>
    <mergeCell ref="D7:D8"/>
  </mergeCells>
  <phoneticPr fontId="6" type="noConversion"/>
  <pageMargins left="0.75" right="0.75" top="1" bottom="1" header="0.5" footer="0.5"/>
  <pageSetup scale="6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25"/>
  <sheetViews>
    <sheetView zoomScale="85" zoomScaleNormal="85" workbookViewId="0">
      <selection activeCell="D6" sqref="D6"/>
    </sheetView>
  </sheetViews>
  <sheetFormatPr defaultRowHeight="12.75"/>
  <cols>
    <col min="2" max="2" width="28" customWidth="1"/>
    <col min="3" max="14" width="19.140625" customWidth="1"/>
  </cols>
  <sheetData>
    <row r="1" spans="1:10">
      <c r="B1" s="144" t="s">
        <v>137</v>
      </c>
      <c r="C1" s="142" t="s">
        <v>127</v>
      </c>
      <c r="D1" s="142" t="s">
        <v>128</v>
      </c>
      <c r="E1" s="143" t="s">
        <v>122</v>
      </c>
      <c r="F1" s="144" t="s">
        <v>123</v>
      </c>
    </row>
    <row r="2" spans="1:10">
      <c r="B2" s="136" t="s">
        <v>61</v>
      </c>
      <c r="C2" s="137">
        <f>'Scratch Work'!C12*'Scratch Work'!E19+'Scratch Work'!C13*'Scratch Work'!E20+'Scratch Work'!C14*'Scratch Work'!E21</f>
        <v>305105.16191999998</v>
      </c>
      <c r="D2" s="137">
        <f>'Scratch Work'!H19*'Scratch Work'!D12+'Scratch Work'!H20*'Scratch Work'!D13+'Scratch Work'!H21*'Scratch Work'!D14</f>
        <v>47375.708601599996</v>
      </c>
      <c r="E2" s="137">
        <f>'Scratch Work'!E12*'Scratch Work'!K19+'Scratch Work'!E13*'Scratch Work'!K20+'Scratch Work'!E14*'Scratch Work'!K21</f>
        <v>222148.92268511999</v>
      </c>
      <c r="F2" s="138">
        <f>'Scratch Work'!F12*'Scratch Work'!N19+'Scratch Work'!F13*'Scratch Work'!N20+'Scratch Work'!F14*'Scratch Work'!N21</f>
        <v>47375.708601599996</v>
      </c>
    </row>
    <row r="3" spans="1:10">
      <c r="B3" s="136" t="s">
        <v>66</v>
      </c>
      <c r="C3" s="137">
        <f>'Scratch Work'!E23*'Scratch Work'!C12+'Scratch Work'!E24*'Scratch Work'!C13+'Scratch Work'!E25*'Scratch Work'!C14</f>
        <v>81818.837341538412</v>
      </c>
      <c r="D3" s="137">
        <f>'Scratch Work'!H23*'Scratch Work'!D12+'Scratch Work'!H24*'Scratch Work'!D13+'Scratch Work'!H25*'Scratch Work'!D14</f>
        <v>14199.65098683076</v>
      </c>
      <c r="E3" s="137">
        <f>'Scratch Work'!E12*'Scratch Work'!K23+'Scratch Work'!E13*'Scratch Work'!K24+'Scratch Work'!E14*'Scratch Work'!K25</f>
        <v>53656.456364307669</v>
      </c>
      <c r="F3" s="138">
        <f>'Scratch Work'!F12*'Scratch Work'!N23+'Scratch Work'!F13*'Scratch Work'!N24+'Scratch Work'!F14*'Scratch Work'!N25</f>
        <v>12536.718371446148</v>
      </c>
    </row>
    <row r="4" spans="1:10" ht="9.75" customHeight="1">
      <c r="B4" s="11"/>
    </row>
    <row r="5" spans="1:10">
      <c r="B5" s="145" t="s">
        <v>125</v>
      </c>
      <c r="C5" s="142" t="s">
        <v>127</v>
      </c>
      <c r="D5" s="142" t="s">
        <v>128</v>
      </c>
      <c r="E5" s="143" t="s">
        <v>122</v>
      </c>
      <c r="F5" s="143" t="s">
        <v>123</v>
      </c>
      <c r="I5" s="57" t="s">
        <v>101</v>
      </c>
    </row>
    <row r="6" spans="1:10">
      <c r="A6" s="107"/>
      <c r="B6" s="129" t="s">
        <v>63</v>
      </c>
      <c r="C6" s="62">
        <f>1*(('Adjust - usage patterns'!E5*'Adjust - usage patterns'!E6)/7*365-'Adjust - usage patterns'!E7*'Adjust - usage patterns'!E5)*(1-'Modeling Study'!F48)</f>
        <v>1417.3415384615375</v>
      </c>
      <c r="D6" s="130">
        <f>1*(('Adjust - usage patterns'!E5*'Adjust - usage patterns'!E6)/7*365-'Adjust - usage patterns'!E7*'Adjust - usage patterns'!E5)*(1-'Modeling Study'!J48)</f>
        <v>1417.3415384615375</v>
      </c>
      <c r="E6" s="131">
        <f>(('Adjust - usage patterns'!E5*'Adjust - usage patterns'!E6)/7*365-'Adjust - usage patterns'!E7*'Adjust - usage patterns'!E5)*(1-'Modeling Study'!D48)</f>
        <v>1172.9723076923069</v>
      </c>
      <c r="F6" s="132">
        <f>(('Adjust - usage patterns'!E5*'Adjust - usage patterns'!E6)/7*365-'Adjust - usage patterns'!E7*'Adjust - usage patterns'!E5)*(1-'Modeling Study'!H48)</f>
        <v>1172.9723076923069</v>
      </c>
      <c r="I6" s="293" t="s">
        <v>99</v>
      </c>
      <c r="J6" s="293"/>
    </row>
    <row r="7" spans="1:10">
      <c r="A7" s="107"/>
      <c r="B7" s="129" t="s">
        <v>64</v>
      </c>
      <c r="C7" s="62">
        <f>(('Adjust - usage patterns'!E5*'Adjust - usage patterns'!E6)/7*365-'Adjust - usage patterns'!E5*'Adjust - usage patterns'!E7)*'Modeling Study'!F48</f>
        <v>488.73846153846114</v>
      </c>
      <c r="D7" s="130">
        <f>(('Adjust - usage patterns'!E5*'Adjust - usage patterns'!E6)/7*365-'Adjust - usage patterns'!E5*'Adjust - usage patterns'!E7)*('Modeling Study'!J48)</f>
        <v>488.73846153846114</v>
      </c>
      <c r="E7" s="131">
        <f>(('Adjust - usage patterns'!E5*'Adjust - usage patterns'!E6)/7*365-'Adjust - usage patterns'!E7*'Adjust - usage patterns'!E5)*'Modeling Study'!D48</f>
        <v>733.10769230769176</v>
      </c>
      <c r="F7" s="132">
        <f>(('Adjust - usage patterns'!E5*'Adjust - usage patterns'!E6)/7*365-'Adjust - usage patterns'!E7*'Adjust - usage patterns'!E5)*'Modeling Study'!H48</f>
        <v>733.10769230769176</v>
      </c>
      <c r="I7" s="148" t="s">
        <v>90</v>
      </c>
      <c r="J7" s="149">
        <v>0.5</v>
      </c>
    </row>
    <row r="8" spans="1:10">
      <c r="A8" s="107"/>
      <c r="B8" s="129" t="s">
        <v>65</v>
      </c>
      <c r="C8" s="62">
        <f>((7-'Adjust - usage patterns'!E6)*24+(24-'Adjust - usage patterns'!E5)*'Adjust - usage patterns'!E6)/7*365+'Adjust - usage patterns'!E7*'Adjust - usage patterns'!E5</f>
        <v>6853.920000000001</v>
      </c>
      <c r="D8" s="130">
        <f>((7-'Adjust - usage patterns'!E6)*24+(24-'Adjust - usage patterns'!E5)*'Adjust - usage patterns'!E6)/7*365+'Adjust - usage patterns'!E7*'Adjust - usage patterns'!E5</f>
        <v>6853.920000000001</v>
      </c>
      <c r="E8" s="131">
        <f>((7-'Adjust - usage patterns'!E6)*24+(24-'Adjust - usage patterns'!E5)*'Adjust - usage patterns'!E6)/7*365+'Adjust - usage patterns'!E7*'Adjust - usage patterns'!E5</f>
        <v>6853.920000000001</v>
      </c>
      <c r="F8" s="132">
        <f>((7-'Adjust - usage patterns'!E6)*24+(24-'Adjust - usage patterns'!E5)*'Adjust - usage patterns'!E6)/7*365+'Adjust - usage patterns'!E7*'Adjust - usage patterns'!E5</f>
        <v>6853.920000000001</v>
      </c>
      <c r="I8" s="148" t="s">
        <v>100</v>
      </c>
      <c r="J8" s="149">
        <f>1-J7</f>
        <v>0.5</v>
      </c>
    </row>
    <row r="9" spans="1:10">
      <c r="A9" s="107"/>
      <c r="B9" s="133"/>
      <c r="C9" s="134">
        <f>SUM(C6:C8)</f>
        <v>8760</v>
      </c>
      <c r="D9" s="134">
        <f>SUM(D6:D8)</f>
        <v>8760</v>
      </c>
      <c r="E9" s="134">
        <f>SUM(E6:E8)</f>
        <v>8760</v>
      </c>
      <c r="F9" s="134">
        <f>SUM(F6:F8)</f>
        <v>8760</v>
      </c>
      <c r="H9" s="55"/>
      <c r="I9" s="58"/>
      <c r="J9" s="59"/>
    </row>
    <row r="10" spans="1:10">
      <c r="H10" s="55"/>
      <c r="I10" s="129" t="s">
        <v>129</v>
      </c>
      <c r="J10" s="139" t="s">
        <v>130</v>
      </c>
    </row>
    <row r="11" spans="1:10">
      <c r="B11" s="146" t="s">
        <v>124</v>
      </c>
      <c r="C11" s="142" t="s">
        <v>127</v>
      </c>
      <c r="D11" s="142" t="s">
        <v>128</v>
      </c>
      <c r="E11" s="143" t="s">
        <v>122</v>
      </c>
      <c r="F11" s="143" t="s">
        <v>123</v>
      </c>
      <c r="G11" s="143" t="s">
        <v>126</v>
      </c>
      <c r="I11" s="147">
        <f>1-J11</f>
        <v>0.64</v>
      </c>
      <c r="J11" s="147">
        <f>+VLOOKUP('Start Here'!$I$32,'Drop Down Ref'!G9:H20,2)</f>
        <v>0.36</v>
      </c>
    </row>
    <row r="12" spans="1:10">
      <c r="B12" s="128" t="s">
        <v>63</v>
      </c>
      <c r="C12" s="135">
        <f>'Adjust- power draw'!E8</f>
        <v>48.11</v>
      </c>
      <c r="D12" s="135">
        <f>G12*$J$7</f>
        <v>7.41</v>
      </c>
      <c r="E12" s="135">
        <f>'Adjust- power draw'!E5</f>
        <v>34.911149999999999</v>
      </c>
      <c r="F12" s="135">
        <f>G12*$J$8</f>
        <v>7.41</v>
      </c>
      <c r="G12" s="135">
        <f>'Adjust- power draw'!E11</f>
        <v>14.82</v>
      </c>
    </row>
    <row r="13" spans="1:10">
      <c r="B13" s="128" t="s">
        <v>64</v>
      </c>
      <c r="C13" s="135">
        <f>'Adjust- power draw'!E9</f>
        <v>2.31</v>
      </c>
      <c r="D13" s="135">
        <f>G13*$J$7</f>
        <v>0.60499999999999998</v>
      </c>
      <c r="E13" s="135">
        <f>'Adjust- power draw'!E6</f>
        <v>2</v>
      </c>
      <c r="F13" s="135">
        <f>G13*$J$8</f>
        <v>0.60499999999999998</v>
      </c>
      <c r="G13" s="135">
        <f>'Adjust- power draw'!E12</f>
        <v>1.21</v>
      </c>
    </row>
    <row r="14" spans="1:10">
      <c r="B14" s="128" t="s">
        <v>65</v>
      </c>
      <c r="C14" s="135">
        <f>'Adjust- power draw'!E10</f>
        <v>0.96</v>
      </c>
      <c r="D14" s="135">
        <f>G14*$J$7</f>
        <v>0.30299999999999999</v>
      </c>
      <c r="E14" s="135">
        <f>'Adjust- power draw'!E7</f>
        <v>1</v>
      </c>
      <c r="F14" s="135">
        <f>G14*$J$8</f>
        <v>0.30299999999999999</v>
      </c>
      <c r="G14" s="135">
        <f>'Adjust- power draw'!E13</f>
        <v>0.60599999999999998</v>
      </c>
    </row>
    <row r="17" spans="2:14">
      <c r="B17" s="142"/>
      <c r="C17" s="294" t="s">
        <v>127</v>
      </c>
      <c r="D17" s="294"/>
      <c r="E17" s="294"/>
      <c r="F17" s="294" t="s">
        <v>128</v>
      </c>
      <c r="G17" s="294"/>
      <c r="H17" s="294"/>
      <c r="I17" s="295" t="s">
        <v>122</v>
      </c>
      <c r="J17" s="296"/>
      <c r="K17" s="297"/>
      <c r="L17" s="295" t="s">
        <v>123</v>
      </c>
      <c r="M17" s="296"/>
      <c r="N17" s="297"/>
    </row>
    <row r="18" spans="2:14">
      <c r="B18" s="129"/>
      <c r="C18" s="129" t="s">
        <v>91</v>
      </c>
      <c r="D18" s="129" t="s">
        <v>92</v>
      </c>
      <c r="E18" s="139" t="s">
        <v>62</v>
      </c>
      <c r="F18" s="129" t="s">
        <v>91</v>
      </c>
      <c r="G18" s="129" t="s">
        <v>92</v>
      </c>
      <c r="H18" s="139" t="s">
        <v>62</v>
      </c>
      <c r="I18" s="129" t="s">
        <v>91</v>
      </c>
      <c r="J18" s="129" t="s">
        <v>92</v>
      </c>
      <c r="K18" s="139" t="s">
        <v>62</v>
      </c>
      <c r="L18" s="129" t="s">
        <v>91</v>
      </c>
      <c r="M18" s="129" t="s">
        <v>92</v>
      </c>
      <c r="N18" s="139" t="s">
        <v>62</v>
      </c>
    </row>
    <row r="19" spans="2:14">
      <c r="B19" s="129" t="s">
        <v>131</v>
      </c>
      <c r="C19" s="140">
        <f>D19+D21</f>
        <v>8760</v>
      </c>
      <c r="D19" s="140">
        <f>C6+C7</f>
        <v>1906.0799999999986</v>
      </c>
      <c r="E19" s="141">
        <f>$J$11*D19+$I$11*C19</f>
        <v>6292.5887999999995</v>
      </c>
      <c r="F19" s="140">
        <f>G19+G21</f>
        <v>8760</v>
      </c>
      <c r="G19" s="140">
        <f>D6+D7</f>
        <v>1906.0799999999986</v>
      </c>
      <c r="H19" s="141">
        <f>$J$11*G19+$I$11*F19</f>
        <v>6292.5887999999995</v>
      </c>
      <c r="I19" s="140">
        <f>E6+E7+E8</f>
        <v>8760</v>
      </c>
      <c r="J19" s="140">
        <f>E6+E7</f>
        <v>1906.0799999999986</v>
      </c>
      <c r="K19" s="141">
        <f>$J$11*J19+$I$11*I19</f>
        <v>6292.5887999999995</v>
      </c>
      <c r="L19" s="140">
        <f>F6+F7+F8</f>
        <v>8760</v>
      </c>
      <c r="M19" s="140">
        <f>F6+F7</f>
        <v>1906.0799999999986</v>
      </c>
      <c r="N19" s="141">
        <f>$J$11*M19+$I$11*L19</f>
        <v>6292.5887999999995</v>
      </c>
    </row>
    <row r="20" spans="2:14">
      <c r="B20" s="129" t="s">
        <v>132</v>
      </c>
      <c r="C20" s="129">
        <v>0</v>
      </c>
      <c r="D20" s="140">
        <v>0</v>
      </c>
      <c r="E20" s="141">
        <f>$J$11*D20+$I$11*C20</f>
        <v>0</v>
      </c>
      <c r="F20" s="129">
        <v>0</v>
      </c>
      <c r="G20" s="140">
        <v>0</v>
      </c>
      <c r="H20" s="141">
        <f>$J$11*G20+$I$11*F20</f>
        <v>0</v>
      </c>
      <c r="I20" s="129">
        <v>0</v>
      </c>
      <c r="J20" s="140">
        <v>0</v>
      </c>
      <c r="K20" s="141">
        <f>$J$11*J20+$I$11*I20</f>
        <v>0</v>
      </c>
      <c r="L20" s="129">
        <v>0</v>
      </c>
      <c r="M20" s="140">
        <v>0</v>
      </c>
      <c r="N20" s="141">
        <f>$J$11*M20+$I$11*L20</f>
        <v>0</v>
      </c>
    </row>
    <row r="21" spans="2:14">
      <c r="B21" s="129" t="s">
        <v>133</v>
      </c>
      <c r="C21" s="129">
        <v>0</v>
      </c>
      <c r="D21" s="140">
        <f>C8</f>
        <v>6853.920000000001</v>
      </c>
      <c r="E21" s="141">
        <f>$J$11*D21+$I$11*C21</f>
        <v>2467.4112000000005</v>
      </c>
      <c r="F21" s="129">
        <v>0</v>
      </c>
      <c r="G21" s="140">
        <f>D8</f>
        <v>6853.920000000001</v>
      </c>
      <c r="H21" s="141">
        <f>$J$11*G21+$I$11*F21</f>
        <v>2467.4112000000005</v>
      </c>
      <c r="I21" s="129">
        <v>0</v>
      </c>
      <c r="J21" s="140">
        <f>E8</f>
        <v>6853.920000000001</v>
      </c>
      <c r="K21" s="141">
        <f>$J$11*J21+$I$11*I21</f>
        <v>2467.4112000000005</v>
      </c>
      <c r="L21" s="129">
        <v>0</v>
      </c>
      <c r="M21" s="140">
        <f>F8</f>
        <v>6853.920000000001</v>
      </c>
      <c r="N21" s="141">
        <f>$J$11*M21+$I$11*L21</f>
        <v>2467.4112000000005</v>
      </c>
    </row>
    <row r="22" spans="2:14">
      <c r="B22" s="129"/>
      <c r="C22" s="129" t="s">
        <v>91</v>
      </c>
      <c r="D22" s="129" t="s">
        <v>92</v>
      </c>
      <c r="E22" s="139" t="s">
        <v>62</v>
      </c>
      <c r="F22" s="129" t="s">
        <v>91</v>
      </c>
      <c r="G22" s="129" t="s">
        <v>92</v>
      </c>
      <c r="H22" s="139" t="s">
        <v>62</v>
      </c>
      <c r="I22" s="129" t="s">
        <v>91</v>
      </c>
      <c r="J22" s="129" t="s">
        <v>92</v>
      </c>
      <c r="K22" s="139" t="s">
        <v>62</v>
      </c>
      <c r="L22" s="129" t="s">
        <v>91</v>
      </c>
      <c r="M22" s="129" t="s">
        <v>92</v>
      </c>
      <c r="N22" s="139" t="s">
        <v>62</v>
      </c>
    </row>
    <row r="23" spans="2:14">
      <c r="B23" s="129" t="s">
        <v>134</v>
      </c>
      <c r="C23" s="140">
        <f>D23</f>
        <v>1417.3415384615375</v>
      </c>
      <c r="D23" s="140">
        <f>C6</f>
        <v>1417.3415384615375</v>
      </c>
      <c r="E23" s="141">
        <f>$J$11*D23+$I$11*C23</f>
        <v>1417.3415384615375</v>
      </c>
      <c r="F23" s="140">
        <f>G23</f>
        <v>1417.3415384615375</v>
      </c>
      <c r="G23" s="140">
        <f>D6</f>
        <v>1417.3415384615375</v>
      </c>
      <c r="H23" s="141">
        <f>$J$11*G23+$I$11*F23</f>
        <v>1417.3415384615375</v>
      </c>
      <c r="I23" s="140">
        <f>J23</f>
        <v>1172.9723076923069</v>
      </c>
      <c r="J23" s="140">
        <f>E6</f>
        <v>1172.9723076923069</v>
      </c>
      <c r="K23" s="141">
        <f>$J$11*J23+$I$11*I23</f>
        <v>1172.9723076923069</v>
      </c>
      <c r="L23" s="140">
        <f>M23</f>
        <v>1172.9723076923069</v>
      </c>
      <c r="M23" s="140">
        <f>F6</f>
        <v>1172.9723076923069</v>
      </c>
      <c r="N23" s="141">
        <f>$J$11*M23+$I$11*L23</f>
        <v>1172.9723076923069</v>
      </c>
    </row>
    <row r="24" spans="2:14">
      <c r="B24" s="129" t="s">
        <v>135</v>
      </c>
      <c r="C24" s="140">
        <f>D24+D25</f>
        <v>7342.6584615384618</v>
      </c>
      <c r="D24" s="140">
        <f>C7</f>
        <v>488.73846153846114</v>
      </c>
      <c r="E24" s="141">
        <f>$J$11*D24+$I$11*C24</f>
        <v>4875.2472615384613</v>
      </c>
      <c r="F24" s="140">
        <f>G24+G25</f>
        <v>7342.6584615384618</v>
      </c>
      <c r="G24" s="140">
        <f>D7</f>
        <v>488.73846153846114</v>
      </c>
      <c r="H24" s="141">
        <f>$J$11*G24+$I$11*F24</f>
        <v>4875.2472615384613</v>
      </c>
      <c r="I24" s="140">
        <f>J24+J25</f>
        <v>7587.0276923076926</v>
      </c>
      <c r="J24" s="140">
        <f>E7</f>
        <v>733.10769230769176</v>
      </c>
      <c r="K24" s="141">
        <f>$J$11*J24+$I$11*I24</f>
        <v>5119.6164923076922</v>
      </c>
      <c r="L24" s="140">
        <f>M24+M25</f>
        <v>7587.0276923076926</v>
      </c>
      <c r="M24" s="140">
        <f>F7</f>
        <v>733.10769230769176</v>
      </c>
      <c r="N24" s="141">
        <f>$J$11*M24+$I$11*L24</f>
        <v>5119.6164923076922</v>
      </c>
    </row>
    <row r="25" spans="2:14">
      <c r="B25" s="129" t="s">
        <v>136</v>
      </c>
      <c r="C25" s="129">
        <v>0</v>
      </c>
      <c r="D25" s="140">
        <f>C8</f>
        <v>6853.920000000001</v>
      </c>
      <c r="E25" s="141">
        <f>$J$11*D25+$I$11*C25</f>
        <v>2467.4112000000005</v>
      </c>
      <c r="F25" s="129">
        <v>0</v>
      </c>
      <c r="G25" s="140">
        <f>D8</f>
        <v>6853.920000000001</v>
      </c>
      <c r="H25" s="141">
        <f>$J$11*G25+$I$11*F25</f>
        <v>2467.4112000000005</v>
      </c>
      <c r="I25" s="129">
        <v>0</v>
      </c>
      <c r="J25" s="140">
        <f>E8</f>
        <v>6853.920000000001</v>
      </c>
      <c r="K25" s="141">
        <f>$J$11*J25+$I$11*I25</f>
        <v>2467.4112000000005</v>
      </c>
      <c r="L25" s="129">
        <v>0</v>
      </c>
      <c r="M25" s="140">
        <f>F8</f>
        <v>6853.920000000001</v>
      </c>
      <c r="N25" s="141">
        <f>$J$11*M25+$I$11*L25</f>
        <v>2467.4112000000005</v>
      </c>
    </row>
  </sheetData>
  <mergeCells count="5">
    <mergeCell ref="I6:J6"/>
    <mergeCell ref="C17:E17"/>
    <mergeCell ref="F17:H17"/>
    <mergeCell ref="L17:N17"/>
    <mergeCell ref="I17:K17"/>
  </mergeCells>
  <phoneticPr fontId="3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48"/>
  <sheetViews>
    <sheetView tabSelected="1" zoomScale="70" workbookViewId="0">
      <selection activeCell="N26" sqref="N26"/>
    </sheetView>
  </sheetViews>
  <sheetFormatPr defaultRowHeight="12.75"/>
  <cols>
    <col min="1" max="2" width="19" style="30" customWidth="1"/>
    <col min="3" max="3" width="14.5703125" style="47" customWidth="1"/>
    <col min="4" max="4" width="11.85546875" style="43" customWidth="1"/>
    <col min="5" max="7" width="10.7109375" style="43" customWidth="1"/>
    <col min="8" max="8" width="10.28515625" style="30" bestFit="1" customWidth="1"/>
    <col min="9" max="9" width="13.140625" style="30" bestFit="1" customWidth="1"/>
    <col min="10" max="10" width="10.28515625" style="30" bestFit="1" customWidth="1"/>
    <col min="11" max="11" width="13.140625" style="30" bestFit="1" customWidth="1"/>
    <col min="12" max="16384" width="9.140625" style="30"/>
  </cols>
  <sheetData>
    <row r="1" spans="1:11">
      <c r="D1" s="298" t="s">
        <v>96</v>
      </c>
      <c r="E1" s="298"/>
      <c r="F1" s="298"/>
      <c r="G1" s="298"/>
      <c r="H1" s="298" t="s">
        <v>97</v>
      </c>
      <c r="I1" s="298"/>
      <c r="J1" s="298"/>
      <c r="K1" s="298"/>
    </row>
    <row r="2" spans="1:11">
      <c r="D2" s="43" t="s">
        <v>89</v>
      </c>
      <c r="F2" s="43" t="s">
        <v>90</v>
      </c>
      <c r="H2" s="54" t="s">
        <v>98</v>
      </c>
      <c r="I2" s="43"/>
      <c r="J2" s="43" t="s">
        <v>90</v>
      </c>
      <c r="K2" s="43"/>
    </row>
    <row r="3" spans="1:11">
      <c r="A3" s="27"/>
      <c r="B3" s="27"/>
      <c r="C3" s="28" t="s">
        <v>88</v>
      </c>
      <c r="D3" s="29">
        <f>'Adjust - sleep settings'!F6</f>
        <v>15</v>
      </c>
      <c r="E3" s="29"/>
      <c r="F3" s="29">
        <f>'Adjust - sleep settings'!F7</f>
        <v>30</v>
      </c>
      <c r="G3" s="29"/>
      <c r="H3" s="29">
        <f>'Adjust - sleep settings'!F10</f>
        <v>15</v>
      </c>
      <c r="I3" s="29"/>
      <c r="J3" s="29">
        <f>'Adjust - sleep settings'!F11</f>
        <v>30</v>
      </c>
      <c r="K3" s="29"/>
    </row>
    <row r="4" spans="1:11" ht="25.5">
      <c r="A4" s="31" t="s">
        <v>67</v>
      </c>
      <c r="B4" s="32" t="s">
        <v>68</v>
      </c>
      <c r="C4" s="33" t="s">
        <v>69</v>
      </c>
      <c r="D4" s="34" t="s">
        <v>70</v>
      </c>
      <c r="E4" s="35" t="s">
        <v>71</v>
      </c>
      <c r="F4" s="34" t="s">
        <v>70</v>
      </c>
      <c r="G4" s="35" t="s">
        <v>71</v>
      </c>
      <c r="H4" s="34" t="s">
        <v>70</v>
      </c>
      <c r="I4" s="35" t="s">
        <v>71</v>
      </c>
      <c r="J4" s="34" t="s">
        <v>70</v>
      </c>
      <c r="K4" s="35" t="s">
        <v>71</v>
      </c>
    </row>
    <row r="5" spans="1:11">
      <c r="A5" s="36">
        <v>0.35416666666666669</v>
      </c>
      <c r="B5" s="27" t="s">
        <v>72</v>
      </c>
      <c r="C5" s="37"/>
      <c r="D5" s="38"/>
      <c r="E5" s="38"/>
      <c r="F5" s="38"/>
      <c r="G5" s="38"/>
      <c r="H5" s="38"/>
      <c r="I5" s="38"/>
      <c r="J5" s="38"/>
      <c r="K5" s="38"/>
    </row>
    <row r="6" spans="1:11">
      <c r="A6" s="39">
        <f>A5+1/24/4</f>
        <v>0.36458333333333337</v>
      </c>
      <c r="B6" s="27" t="s">
        <v>73</v>
      </c>
      <c r="C6" s="38" t="s">
        <v>58</v>
      </c>
      <c r="D6" s="38">
        <f>IF($C6="Y",15,D$3)</f>
        <v>15</v>
      </c>
      <c r="E6" s="38">
        <f>D6-15</f>
        <v>0</v>
      </c>
      <c r="F6" s="38">
        <f>IF($C6="Y",15,F$3)</f>
        <v>15</v>
      </c>
      <c r="G6" s="38">
        <f>F6-15</f>
        <v>0</v>
      </c>
      <c r="H6" s="38">
        <f>IF($C6="Y",15,H$3)</f>
        <v>15</v>
      </c>
      <c r="I6" s="38">
        <f>H6-15</f>
        <v>0</v>
      </c>
      <c r="J6" s="38">
        <f>IF($C6="Y",15,J$3)</f>
        <v>15</v>
      </c>
      <c r="K6" s="38">
        <f>J6-15</f>
        <v>0</v>
      </c>
    </row>
    <row r="7" spans="1:11">
      <c r="A7" s="39">
        <f t="shared" ref="A7:A44" si="0">A6+1/24/4</f>
        <v>0.37500000000000006</v>
      </c>
      <c r="B7" s="27" t="s">
        <v>74</v>
      </c>
      <c r="C7" s="37">
        <v>15</v>
      </c>
      <c r="D7" s="38">
        <f t="shared" ref="D7:D24" si="1">IF($C7="Y",15,IF($C7-D$3&gt;15,0,IF($C7-D$3&lt;0,15,MIN(15-($C7-D$3),15))))</f>
        <v>15</v>
      </c>
      <c r="E7" s="38">
        <f t="shared" ref="E7:E44" si="2">15-D7</f>
        <v>0</v>
      </c>
      <c r="F7" s="38">
        <f t="shared" ref="F7:F40" si="3">IF($C7="Y",15,IF($C7-F$3&gt;15,0,IF($C7-F$3&lt;0,15,MIN(15-($C7-F$3),15))))</f>
        <v>15</v>
      </c>
      <c r="G7" s="38">
        <f t="shared" ref="G7:G44" si="4">15-F7</f>
        <v>0</v>
      </c>
      <c r="H7" s="38">
        <f t="shared" ref="H7:H40" si="5">IF($C7="Y",15,IF($C7-H$3&gt;15,0,IF($C7-H$3&lt;0,15,MIN(15-($C7-H$3),15))))</f>
        <v>15</v>
      </c>
      <c r="I7" s="38">
        <f t="shared" ref="I7:I44" si="6">15-H7</f>
        <v>0</v>
      </c>
      <c r="J7" s="38">
        <f t="shared" ref="J7:J40" si="7">IF($C7="Y",15,IF($C7-J$3&gt;15,0,IF($C7-J$3&lt;0,15,MIN(15-($C7-J$3),15))))</f>
        <v>15</v>
      </c>
      <c r="K7" s="38">
        <f t="shared" ref="K7:K44" si="8">15-J7</f>
        <v>0</v>
      </c>
    </row>
    <row r="8" spans="1:11">
      <c r="A8" s="39">
        <f t="shared" si="0"/>
        <v>0.38541666666666674</v>
      </c>
      <c r="B8" s="27"/>
      <c r="C8" s="37">
        <v>30</v>
      </c>
      <c r="D8" s="38">
        <f t="shared" si="1"/>
        <v>0</v>
      </c>
      <c r="E8" s="38">
        <f t="shared" si="2"/>
        <v>15</v>
      </c>
      <c r="F8" s="38">
        <f t="shared" si="3"/>
        <v>15</v>
      </c>
      <c r="G8" s="38">
        <f t="shared" si="4"/>
        <v>0</v>
      </c>
      <c r="H8" s="38">
        <f t="shared" si="5"/>
        <v>0</v>
      </c>
      <c r="I8" s="38">
        <f t="shared" si="6"/>
        <v>15</v>
      </c>
      <c r="J8" s="38">
        <f t="shared" si="7"/>
        <v>15</v>
      </c>
      <c r="K8" s="38">
        <f t="shared" si="8"/>
        <v>0</v>
      </c>
    </row>
    <row r="9" spans="1:11">
      <c r="A9" s="39">
        <f t="shared" si="0"/>
        <v>0.39583333333333343</v>
      </c>
      <c r="B9" s="27"/>
      <c r="C9" s="37">
        <v>45</v>
      </c>
      <c r="D9" s="38">
        <f t="shared" si="1"/>
        <v>0</v>
      </c>
      <c r="E9" s="38">
        <f t="shared" si="2"/>
        <v>15</v>
      </c>
      <c r="F9" s="38">
        <f t="shared" si="3"/>
        <v>0</v>
      </c>
      <c r="G9" s="38">
        <f t="shared" si="4"/>
        <v>15</v>
      </c>
      <c r="H9" s="38">
        <f t="shared" si="5"/>
        <v>0</v>
      </c>
      <c r="I9" s="38">
        <f t="shared" si="6"/>
        <v>15</v>
      </c>
      <c r="J9" s="38">
        <f t="shared" si="7"/>
        <v>0</v>
      </c>
      <c r="K9" s="38">
        <f t="shared" si="8"/>
        <v>15</v>
      </c>
    </row>
    <row r="10" spans="1:11">
      <c r="A10" s="39">
        <f t="shared" si="0"/>
        <v>0.40625000000000011</v>
      </c>
      <c r="B10" s="27" t="s">
        <v>75</v>
      </c>
      <c r="C10" s="38" t="s">
        <v>58</v>
      </c>
      <c r="D10" s="38">
        <f t="shared" si="1"/>
        <v>15</v>
      </c>
      <c r="E10" s="38">
        <f t="shared" si="2"/>
        <v>0</v>
      </c>
      <c r="F10" s="38">
        <f t="shared" si="3"/>
        <v>15</v>
      </c>
      <c r="G10" s="38">
        <f t="shared" si="4"/>
        <v>0</v>
      </c>
      <c r="H10" s="38">
        <f t="shared" si="5"/>
        <v>15</v>
      </c>
      <c r="I10" s="38">
        <f t="shared" si="6"/>
        <v>0</v>
      </c>
      <c r="J10" s="38">
        <f t="shared" si="7"/>
        <v>15</v>
      </c>
      <c r="K10" s="38">
        <f t="shared" si="8"/>
        <v>0</v>
      </c>
    </row>
    <row r="11" spans="1:11">
      <c r="A11" s="39">
        <f t="shared" si="0"/>
        <v>0.4166666666666668</v>
      </c>
      <c r="B11" s="27" t="s">
        <v>76</v>
      </c>
      <c r="C11" s="37">
        <v>15</v>
      </c>
      <c r="D11" s="38">
        <f t="shared" si="1"/>
        <v>15</v>
      </c>
      <c r="E11" s="38">
        <f t="shared" si="2"/>
        <v>0</v>
      </c>
      <c r="F11" s="38">
        <f t="shared" si="3"/>
        <v>15</v>
      </c>
      <c r="G11" s="38">
        <f t="shared" si="4"/>
        <v>0</v>
      </c>
      <c r="H11" s="38">
        <f t="shared" si="5"/>
        <v>15</v>
      </c>
      <c r="I11" s="38">
        <f>15-H11</f>
        <v>0</v>
      </c>
      <c r="J11" s="38">
        <f t="shared" si="7"/>
        <v>15</v>
      </c>
      <c r="K11" s="38">
        <f t="shared" si="8"/>
        <v>0</v>
      </c>
    </row>
    <row r="12" spans="1:11">
      <c r="A12" s="39">
        <f t="shared" si="0"/>
        <v>0.42708333333333348</v>
      </c>
      <c r="B12" s="27"/>
      <c r="C12" s="37">
        <v>30</v>
      </c>
      <c r="D12" s="38">
        <f t="shared" si="1"/>
        <v>0</v>
      </c>
      <c r="E12" s="38">
        <f t="shared" si="2"/>
        <v>15</v>
      </c>
      <c r="F12" s="38">
        <f t="shared" si="3"/>
        <v>15</v>
      </c>
      <c r="G12" s="38">
        <f t="shared" si="4"/>
        <v>0</v>
      </c>
      <c r="H12" s="38">
        <f t="shared" si="5"/>
        <v>0</v>
      </c>
      <c r="I12" s="38">
        <f t="shared" si="6"/>
        <v>15</v>
      </c>
      <c r="J12" s="38">
        <f t="shared" si="7"/>
        <v>15</v>
      </c>
      <c r="K12" s="38">
        <f t="shared" si="8"/>
        <v>0</v>
      </c>
    </row>
    <row r="13" spans="1:11">
      <c r="A13" s="39">
        <f t="shared" si="0"/>
        <v>0.43750000000000017</v>
      </c>
      <c r="B13" s="27"/>
      <c r="C13" s="37">
        <v>45</v>
      </c>
      <c r="D13" s="38">
        <f t="shared" si="1"/>
        <v>0</v>
      </c>
      <c r="E13" s="38">
        <f t="shared" si="2"/>
        <v>15</v>
      </c>
      <c r="F13" s="38">
        <f t="shared" si="3"/>
        <v>0</v>
      </c>
      <c r="G13" s="38">
        <f t="shared" si="4"/>
        <v>15</v>
      </c>
      <c r="H13" s="38">
        <f t="shared" si="5"/>
        <v>0</v>
      </c>
      <c r="I13" s="38">
        <f t="shared" si="6"/>
        <v>15</v>
      </c>
      <c r="J13" s="38">
        <f t="shared" si="7"/>
        <v>0</v>
      </c>
      <c r="K13" s="38">
        <f t="shared" si="8"/>
        <v>15</v>
      </c>
    </row>
    <row r="14" spans="1:11">
      <c r="A14" s="39">
        <f t="shared" si="0"/>
        <v>0.44791666666666685</v>
      </c>
      <c r="B14" s="27"/>
      <c r="C14" s="37">
        <v>60</v>
      </c>
      <c r="D14" s="38">
        <f t="shared" si="1"/>
        <v>0</v>
      </c>
      <c r="E14" s="38">
        <f t="shared" si="2"/>
        <v>15</v>
      </c>
      <c r="F14" s="38">
        <f t="shared" si="3"/>
        <v>0</v>
      </c>
      <c r="G14" s="38">
        <f t="shared" si="4"/>
        <v>15</v>
      </c>
      <c r="H14" s="38">
        <f t="shared" si="5"/>
        <v>0</v>
      </c>
      <c r="I14" s="38">
        <f t="shared" si="6"/>
        <v>15</v>
      </c>
      <c r="J14" s="38">
        <f t="shared" si="7"/>
        <v>0</v>
      </c>
      <c r="K14" s="38">
        <f t="shared" si="8"/>
        <v>15</v>
      </c>
    </row>
    <row r="15" spans="1:11">
      <c r="A15" s="39">
        <f t="shared" si="0"/>
        <v>0.45833333333333354</v>
      </c>
      <c r="B15" s="27" t="s">
        <v>77</v>
      </c>
      <c r="C15" s="38" t="s">
        <v>58</v>
      </c>
      <c r="D15" s="38">
        <f t="shared" si="1"/>
        <v>15</v>
      </c>
      <c r="E15" s="38">
        <f t="shared" si="2"/>
        <v>0</v>
      </c>
      <c r="F15" s="38">
        <f t="shared" si="3"/>
        <v>15</v>
      </c>
      <c r="G15" s="38">
        <f t="shared" si="4"/>
        <v>0</v>
      </c>
      <c r="H15" s="38">
        <f t="shared" si="5"/>
        <v>15</v>
      </c>
      <c r="I15" s="38">
        <f t="shared" si="6"/>
        <v>0</v>
      </c>
      <c r="J15" s="38">
        <f t="shared" si="7"/>
        <v>15</v>
      </c>
      <c r="K15" s="38">
        <f t="shared" si="8"/>
        <v>0</v>
      </c>
    </row>
    <row r="16" spans="1:11">
      <c r="A16" s="39">
        <f t="shared" si="0"/>
        <v>0.46875000000000022</v>
      </c>
      <c r="B16" s="27"/>
      <c r="C16" s="38" t="s">
        <v>58</v>
      </c>
      <c r="D16" s="38">
        <f t="shared" si="1"/>
        <v>15</v>
      </c>
      <c r="E16" s="38">
        <f t="shared" si="2"/>
        <v>0</v>
      </c>
      <c r="F16" s="38">
        <f t="shared" si="3"/>
        <v>15</v>
      </c>
      <c r="G16" s="38">
        <f t="shared" si="4"/>
        <v>0</v>
      </c>
      <c r="H16" s="38">
        <f t="shared" si="5"/>
        <v>15</v>
      </c>
      <c r="I16" s="38">
        <f t="shared" si="6"/>
        <v>0</v>
      </c>
      <c r="J16" s="38">
        <f t="shared" si="7"/>
        <v>15</v>
      </c>
      <c r="K16" s="38">
        <f t="shared" si="8"/>
        <v>0</v>
      </c>
    </row>
    <row r="17" spans="1:11">
      <c r="A17" s="39">
        <f t="shared" si="0"/>
        <v>0.47916666666666691</v>
      </c>
      <c r="B17" s="27" t="s">
        <v>78</v>
      </c>
      <c r="C17" s="37">
        <v>15</v>
      </c>
      <c r="D17" s="38">
        <f t="shared" si="1"/>
        <v>15</v>
      </c>
      <c r="E17" s="38">
        <f t="shared" si="2"/>
        <v>0</v>
      </c>
      <c r="F17" s="38">
        <f t="shared" si="3"/>
        <v>15</v>
      </c>
      <c r="G17" s="38">
        <f t="shared" si="4"/>
        <v>0</v>
      </c>
      <c r="H17" s="38">
        <f t="shared" si="5"/>
        <v>15</v>
      </c>
      <c r="I17" s="38">
        <f t="shared" si="6"/>
        <v>0</v>
      </c>
      <c r="J17" s="38">
        <f t="shared" si="7"/>
        <v>15</v>
      </c>
      <c r="K17" s="38">
        <f t="shared" si="8"/>
        <v>0</v>
      </c>
    </row>
    <row r="18" spans="1:11">
      <c r="A18" s="39">
        <f t="shared" si="0"/>
        <v>0.48958333333333359</v>
      </c>
      <c r="B18" s="27"/>
      <c r="C18" s="37">
        <v>30</v>
      </c>
      <c r="D18" s="38">
        <f t="shared" si="1"/>
        <v>0</v>
      </c>
      <c r="E18" s="38">
        <f t="shared" si="2"/>
        <v>15</v>
      </c>
      <c r="F18" s="38">
        <f t="shared" si="3"/>
        <v>15</v>
      </c>
      <c r="G18" s="38">
        <f t="shared" si="4"/>
        <v>0</v>
      </c>
      <c r="H18" s="38">
        <f t="shared" si="5"/>
        <v>0</v>
      </c>
      <c r="I18" s="38">
        <f t="shared" si="6"/>
        <v>15</v>
      </c>
      <c r="J18" s="38">
        <f t="shared" si="7"/>
        <v>15</v>
      </c>
      <c r="K18" s="38">
        <f t="shared" si="8"/>
        <v>0</v>
      </c>
    </row>
    <row r="19" spans="1:11">
      <c r="A19" s="39">
        <f t="shared" si="0"/>
        <v>0.50000000000000022</v>
      </c>
      <c r="B19" s="27" t="s">
        <v>79</v>
      </c>
      <c r="C19" s="37">
        <v>45</v>
      </c>
      <c r="D19" s="38">
        <f t="shared" si="1"/>
        <v>0</v>
      </c>
      <c r="E19" s="38">
        <f t="shared" si="2"/>
        <v>15</v>
      </c>
      <c r="F19" s="38">
        <f t="shared" si="3"/>
        <v>0</v>
      </c>
      <c r="G19" s="38">
        <f t="shared" si="4"/>
        <v>15</v>
      </c>
      <c r="H19" s="38">
        <f t="shared" si="5"/>
        <v>0</v>
      </c>
      <c r="I19" s="38">
        <f t="shared" si="6"/>
        <v>15</v>
      </c>
      <c r="J19" s="38">
        <f t="shared" si="7"/>
        <v>0</v>
      </c>
      <c r="K19" s="38">
        <f t="shared" si="8"/>
        <v>15</v>
      </c>
    </row>
    <row r="20" spans="1:11">
      <c r="A20" s="39">
        <f t="shared" si="0"/>
        <v>0.51041666666666685</v>
      </c>
      <c r="B20" s="27"/>
      <c r="C20" s="37">
        <v>60</v>
      </c>
      <c r="D20" s="38">
        <f t="shared" si="1"/>
        <v>0</v>
      </c>
      <c r="E20" s="38">
        <f t="shared" si="2"/>
        <v>15</v>
      </c>
      <c r="F20" s="38">
        <f t="shared" si="3"/>
        <v>0</v>
      </c>
      <c r="G20" s="38">
        <f t="shared" si="4"/>
        <v>15</v>
      </c>
      <c r="H20" s="38">
        <f t="shared" si="5"/>
        <v>0</v>
      </c>
      <c r="I20" s="38">
        <f t="shared" si="6"/>
        <v>15</v>
      </c>
      <c r="J20" s="38">
        <f t="shared" si="7"/>
        <v>0</v>
      </c>
      <c r="K20" s="38">
        <f t="shared" si="8"/>
        <v>15</v>
      </c>
    </row>
    <row r="21" spans="1:11">
      <c r="A21" s="39">
        <f t="shared" si="0"/>
        <v>0.52083333333333348</v>
      </c>
      <c r="B21" s="27"/>
      <c r="C21" s="37">
        <v>75</v>
      </c>
      <c r="D21" s="38">
        <f t="shared" si="1"/>
        <v>0</v>
      </c>
      <c r="E21" s="38">
        <f t="shared" si="2"/>
        <v>15</v>
      </c>
      <c r="F21" s="38">
        <f t="shared" si="3"/>
        <v>0</v>
      </c>
      <c r="G21" s="38">
        <f t="shared" si="4"/>
        <v>15</v>
      </c>
      <c r="H21" s="38">
        <f t="shared" si="5"/>
        <v>0</v>
      </c>
      <c r="I21" s="38">
        <f t="shared" si="6"/>
        <v>15</v>
      </c>
      <c r="J21" s="38">
        <f t="shared" si="7"/>
        <v>0</v>
      </c>
      <c r="K21" s="38">
        <f t="shared" si="8"/>
        <v>15</v>
      </c>
    </row>
    <row r="22" spans="1:11">
      <c r="A22" s="39">
        <f t="shared" si="0"/>
        <v>0.53125000000000011</v>
      </c>
      <c r="B22" s="27"/>
      <c r="C22" s="37">
        <v>90</v>
      </c>
      <c r="D22" s="38">
        <f t="shared" si="1"/>
        <v>0</v>
      </c>
      <c r="E22" s="38">
        <f t="shared" si="2"/>
        <v>15</v>
      </c>
      <c r="F22" s="38">
        <f t="shared" si="3"/>
        <v>0</v>
      </c>
      <c r="G22" s="38">
        <f t="shared" si="4"/>
        <v>15</v>
      </c>
      <c r="H22" s="38">
        <f t="shared" si="5"/>
        <v>0</v>
      </c>
      <c r="I22" s="38">
        <f t="shared" si="6"/>
        <v>15</v>
      </c>
      <c r="J22" s="38">
        <f t="shared" si="7"/>
        <v>0</v>
      </c>
      <c r="K22" s="38">
        <f t="shared" si="8"/>
        <v>15</v>
      </c>
    </row>
    <row r="23" spans="1:11">
      <c r="A23" s="39">
        <f t="shared" si="0"/>
        <v>0.54166666666666674</v>
      </c>
      <c r="B23" s="27" t="s">
        <v>80</v>
      </c>
      <c r="C23" s="38" t="s">
        <v>58</v>
      </c>
      <c r="D23" s="38">
        <f t="shared" si="1"/>
        <v>15</v>
      </c>
      <c r="E23" s="38">
        <f t="shared" si="2"/>
        <v>0</v>
      </c>
      <c r="F23" s="38">
        <f t="shared" si="3"/>
        <v>15</v>
      </c>
      <c r="G23" s="38">
        <f t="shared" si="4"/>
        <v>0</v>
      </c>
      <c r="H23" s="38">
        <f t="shared" si="5"/>
        <v>15</v>
      </c>
      <c r="I23" s="38">
        <f t="shared" si="6"/>
        <v>0</v>
      </c>
      <c r="J23" s="38">
        <f t="shared" si="7"/>
        <v>15</v>
      </c>
      <c r="K23" s="38">
        <f t="shared" si="8"/>
        <v>0</v>
      </c>
    </row>
    <row r="24" spans="1:11">
      <c r="A24" s="39">
        <f t="shared" si="0"/>
        <v>0.55208333333333337</v>
      </c>
      <c r="B24" s="27"/>
      <c r="C24" s="38" t="s">
        <v>58</v>
      </c>
      <c r="D24" s="38">
        <f t="shared" si="1"/>
        <v>15</v>
      </c>
      <c r="E24" s="38">
        <f t="shared" si="2"/>
        <v>0</v>
      </c>
      <c r="F24" s="38">
        <f t="shared" si="3"/>
        <v>15</v>
      </c>
      <c r="G24" s="38">
        <f t="shared" si="4"/>
        <v>0</v>
      </c>
      <c r="H24" s="38">
        <f t="shared" si="5"/>
        <v>15</v>
      </c>
      <c r="I24" s="38">
        <f t="shared" si="6"/>
        <v>0</v>
      </c>
      <c r="J24" s="38">
        <f t="shared" si="7"/>
        <v>15</v>
      </c>
      <c r="K24" s="38">
        <f t="shared" si="8"/>
        <v>0</v>
      </c>
    </row>
    <row r="25" spans="1:11">
      <c r="A25" s="39">
        <f t="shared" si="0"/>
        <v>0.5625</v>
      </c>
      <c r="B25" s="27"/>
      <c r="C25" s="38" t="s">
        <v>58</v>
      </c>
      <c r="D25" s="38">
        <f t="shared" ref="D25:D40" si="9">IF($C25="Y",15,IF($C25-D$3&gt;15,0,IF($C25-D$3&lt;0,15,MIN(15-($C25-D$3),15))))</f>
        <v>15</v>
      </c>
      <c r="E25" s="38">
        <f t="shared" si="2"/>
        <v>0</v>
      </c>
      <c r="F25" s="38">
        <f t="shared" si="3"/>
        <v>15</v>
      </c>
      <c r="G25" s="38">
        <f t="shared" si="4"/>
        <v>0</v>
      </c>
      <c r="H25" s="38">
        <f t="shared" si="5"/>
        <v>15</v>
      </c>
      <c r="I25" s="38">
        <f t="shared" si="6"/>
        <v>0</v>
      </c>
      <c r="J25" s="38">
        <f t="shared" si="7"/>
        <v>15</v>
      </c>
      <c r="K25" s="38">
        <f t="shared" si="8"/>
        <v>0</v>
      </c>
    </row>
    <row r="26" spans="1:11">
      <c r="A26" s="39">
        <f t="shared" si="0"/>
        <v>0.57291666666666663</v>
      </c>
      <c r="B26" s="27"/>
      <c r="C26" s="38" t="s">
        <v>58</v>
      </c>
      <c r="D26" s="38">
        <f t="shared" si="9"/>
        <v>15</v>
      </c>
      <c r="E26" s="38">
        <f t="shared" si="2"/>
        <v>0</v>
      </c>
      <c r="F26" s="38">
        <f t="shared" si="3"/>
        <v>15</v>
      </c>
      <c r="G26" s="38">
        <f t="shared" si="4"/>
        <v>0</v>
      </c>
      <c r="H26" s="38">
        <f t="shared" si="5"/>
        <v>15</v>
      </c>
      <c r="I26" s="38">
        <f t="shared" si="6"/>
        <v>0</v>
      </c>
      <c r="J26" s="38">
        <f t="shared" si="7"/>
        <v>15</v>
      </c>
      <c r="K26" s="38">
        <f t="shared" si="8"/>
        <v>0</v>
      </c>
    </row>
    <row r="27" spans="1:11">
      <c r="A27" s="39">
        <f t="shared" si="0"/>
        <v>0.58333333333333326</v>
      </c>
      <c r="B27" s="27" t="s">
        <v>76</v>
      </c>
      <c r="C27" s="37">
        <v>15</v>
      </c>
      <c r="D27" s="38">
        <f t="shared" si="9"/>
        <v>15</v>
      </c>
      <c r="E27" s="38">
        <f t="shared" si="2"/>
        <v>0</v>
      </c>
      <c r="F27" s="38">
        <f t="shared" si="3"/>
        <v>15</v>
      </c>
      <c r="G27" s="38">
        <f t="shared" si="4"/>
        <v>0</v>
      </c>
      <c r="H27" s="38">
        <f t="shared" si="5"/>
        <v>15</v>
      </c>
      <c r="I27" s="38">
        <f t="shared" si="6"/>
        <v>0</v>
      </c>
      <c r="J27" s="38">
        <f t="shared" si="7"/>
        <v>15</v>
      </c>
      <c r="K27" s="38">
        <f t="shared" si="8"/>
        <v>0</v>
      </c>
    </row>
    <row r="28" spans="1:11">
      <c r="A28" s="39">
        <f t="shared" si="0"/>
        <v>0.59374999999999989</v>
      </c>
      <c r="B28" s="27"/>
      <c r="C28" s="37">
        <v>30</v>
      </c>
      <c r="D28" s="38">
        <f t="shared" si="9"/>
        <v>0</v>
      </c>
      <c r="E28" s="38">
        <f t="shared" si="2"/>
        <v>15</v>
      </c>
      <c r="F28" s="38">
        <f t="shared" si="3"/>
        <v>15</v>
      </c>
      <c r="G28" s="38">
        <f t="shared" si="4"/>
        <v>0</v>
      </c>
      <c r="H28" s="38">
        <f t="shared" si="5"/>
        <v>0</v>
      </c>
      <c r="I28" s="38">
        <f t="shared" si="6"/>
        <v>15</v>
      </c>
      <c r="J28" s="38">
        <f t="shared" si="7"/>
        <v>15</v>
      </c>
      <c r="K28" s="38">
        <f t="shared" si="8"/>
        <v>0</v>
      </c>
    </row>
    <row r="29" spans="1:11">
      <c r="A29" s="39">
        <f t="shared" si="0"/>
        <v>0.60416666666666652</v>
      </c>
      <c r="B29" s="27"/>
      <c r="C29" s="37">
        <v>45</v>
      </c>
      <c r="D29" s="38">
        <f t="shared" si="9"/>
        <v>0</v>
      </c>
      <c r="E29" s="38">
        <f t="shared" si="2"/>
        <v>15</v>
      </c>
      <c r="F29" s="38">
        <f t="shared" si="3"/>
        <v>0</v>
      </c>
      <c r="G29" s="38">
        <f t="shared" si="4"/>
        <v>15</v>
      </c>
      <c r="H29" s="38">
        <f t="shared" si="5"/>
        <v>0</v>
      </c>
      <c r="I29" s="38">
        <f t="shared" si="6"/>
        <v>15</v>
      </c>
      <c r="J29" s="38">
        <f t="shared" si="7"/>
        <v>0</v>
      </c>
      <c r="K29" s="38">
        <f t="shared" si="8"/>
        <v>15</v>
      </c>
    </row>
    <row r="30" spans="1:11">
      <c r="A30" s="39">
        <f t="shared" si="0"/>
        <v>0.61458333333333315</v>
      </c>
      <c r="B30" s="27" t="s">
        <v>75</v>
      </c>
      <c r="C30" s="38" t="s">
        <v>58</v>
      </c>
      <c r="D30" s="38">
        <f t="shared" si="9"/>
        <v>15</v>
      </c>
      <c r="E30" s="38">
        <f t="shared" si="2"/>
        <v>0</v>
      </c>
      <c r="F30" s="38">
        <f t="shared" si="3"/>
        <v>15</v>
      </c>
      <c r="G30" s="38">
        <f t="shared" si="4"/>
        <v>0</v>
      </c>
      <c r="H30" s="38">
        <f t="shared" si="5"/>
        <v>15</v>
      </c>
      <c r="I30" s="38">
        <f t="shared" si="6"/>
        <v>0</v>
      </c>
      <c r="J30" s="38">
        <f t="shared" si="7"/>
        <v>15</v>
      </c>
      <c r="K30" s="38">
        <f t="shared" si="8"/>
        <v>0</v>
      </c>
    </row>
    <row r="31" spans="1:11">
      <c r="A31" s="39">
        <f t="shared" si="0"/>
        <v>0.62499999999999978</v>
      </c>
      <c r="B31" s="27" t="s">
        <v>78</v>
      </c>
      <c r="C31" s="37">
        <v>15</v>
      </c>
      <c r="D31" s="38">
        <f t="shared" si="9"/>
        <v>15</v>
      </c>
      <c r="E31" s="38">
        <f t="shared" si="2"/>
        <v>0</v>
      </c>
      <c r="F31" s="38">
        <f t="shared" si="3"/>
        <v>15</v>
      </c>
      <c r="G31" s="38">
        <f t="shared" si="4"/>
        <v>0</v>
      </c>
      <c r="H31" s="38">
        <f t="shared" si="5"/>
        <v>15</v>
      </c>
      <c r="I31" s="38">
        <f t="shared" si="6"/>
        <v>0</v>
      </c>
      <c r="J31" s="38">
        <f t="shared" si="7"/>
        <v>15</v>
      </c>
      <c r="K31" s="38">
        <f t="shared" si="8"/>
        <v>0</v>
      </c>
    </row>
    <row r="32" spans="1:11">
      <c r="A32" s="39">
        <f t="shared" si="0"/>
        <v>0.63541666666666641</v>
      </c>
      <c r="B32" s="27" t="s">
        <v>80</v>
      </c>
      <c r="C32" s="38" t="s">
        <v>58</v>
      </c>
      <c r="D32" s="38">
        <f t="shared" si="9"/>
        <v>15</v>
      </c>
      <c r="E32" s="38">
        <f t="shared" si="2"/>
        <v>0</v>
      </c>
      <c r="F32" s="38">
        <f t="shared" si="3"/>
        <v>15</v>
      </c>
      <c r="G32" s="38">
        <f t="shared" si="4"/>
        <v>0</v>
      </c>
      <c r="H32" s="38">
        <f t="shared" si="5"/>
        <v>15</v>
      </c>
      <c r="I32" s="38">
        <f t="shared" si="6"/>
        <v>0</v>
      </c>
      <c r="J32" s="38">
        <f t="shared" si="7"/>
        <v>15</v>
      </c>
      <c r="K32" s="38">
        <f t="shared" si="8"/>
        <v>0</v>
      </c>
    </row>
    <row r="33" spans="1:11">
      <c r="A33" s="39">
        <f>A32+1/24/4</f>
        <v>0.64583333333333304</v>
      </c>
      <c r="B33" s="27" t="s">
        <v>81</v>
      </c>
      <c r="C33" s="37">
        <v>15</v>
      </c>
      <c r="D33" s="38">
        <f t="shared" si="9"/>
        <v>15</v>
      </c>
      <c r="E33" s="38">
        <f t="shared" si="2"/>
        <v>0</v>
      </c>
      <c r="F33" s="38">
        <f t="shared" si="3"/>
        <v>15</v>
      </c>
      <c r="G33" s="38">
        <f t="shared" si="4"/>
        <v>0</v>
      </c>
      <c r="H33" s="38">
        <f t="shared" si="5"/>
        <v>15</v>
      </c>
      <c r="I33" s="38">
        <f t="shared" si="6"/>
        <v>0</v>
      </c>
      <c r="J33" s="38">
        <f t="shared" si="7"/>
        <v>15</v>
      </c>
      <c r="K33" s="38">
        <f t="shared" si="8"/>
        <v>0</v>
      </c>
    </row>
    <row r="34" spans="1:11">
      <c r="A34" s="39">
        <f t="shared" si="0"/>
        <v>0.65624999999999967</v>
      </c>
      <c r="B34" s="27" t="s">
        <v>75</v>
      </c>
      <c r="C34" s="38" t="s">
        <v>58</v>
      </c>
      <c r="D34" s="38">
        <f t="shared" si="9"/>
        <v>15</v>
      </c>
      <c r="E34" s="38">
        <f t="shared" si="2"/>
        <v>0</v>
      </c>
      <c r="F34" s="38">
        <f t="shared" si="3"/>
        <v>15</v>
      </c>
      <c r="G34" s="38">
        <f t="shared" si="4"/>
        <v>0</v>
      </c>
      <c r="H34" s="38">
        <f t="shared" si="5"/>
        <v>15</v>
      </c>
      <c r="I34" s="38">
        <f t="shared" si="6"/>
        <v>0</v>
      </c>
      <c r="J34" s="38">
        <f t="shared" si="7"/>
        <v>15</v>
      </c>
      <c r="K34" s="38">
        <f t="shared" si="8"/>
        <v>0</v>
      </c>
    </row>
    <row r="35" spans="1:11">
      <c r="A35" s="39">
        <f t="shared" si="0"/>
        <v>0.6666666666666663</v>
      </c>
      <c r="B35" s="27" t="s">
        <v>82</v>
      </c>
      <c r="C35" s="37">
        <v>15</v>
      </c>
      <c r="D35" s="38">
        <f t="shared" si="9"/>
        <v>15</v>
      </c>
      <c r="E35" s="38">
        <f t="shared" si="2"/>
        <v>0</v>
      </c>
      <c r="F35" s="38">
        <f t="shared" si="3"/>
        <v>15</v>
      </c>
      <c r="G35" s="38">
        <f t="shared" si="4"/>
        <v>0</v>
      </c>
      <c r="H35" s="38">
        <f t="shared" si="5"/>
        <v>15</v>
      </c>
      <c r="I35" s="38">
        <f t="shared" si="6"/>
        <v>0</v>
      </c>
      <c r="J35" s="38">
        <f t="shared" si="7"/>
        <v>15</v>
      </c>
      <c r="K35" s="38">
        <f t="shared" si="8"/>
        <v>0</v>
      </c>
    </row>
    <row r="36" spans="1:11">
      <c r="A36" s="39">
        <f t="shared" si="0"/>
        <v>0.67708333333333293</v>
      </c>
      <c r="B36" s="27" t="s">
        <v>82</v>
      </c>
      <c r="C36" s="37">
        <v>30</v>
      </c>
      <c r="D36" s="38">
        <f t="shared" si="9"/>
        <v>0</v>
      </c>
      <c r="E36" s="38">
        <f t="shared" si="2"/>
        <v>15</v>
      </c>
      <c r="F36" s="38">
        <f t="shared" si="3"/>
        <v>15</v>
      </c>
      <c r="G36" s="38">
        <f t="shared" si="4"/>
        <v>0</v>
      </c>
      <c r="H36" s="38">
        <f t="shared" si="5"/>
        <v>0</v>
      </c>
      <c r="I36" s="38">
        <f t="shared" si="6"/>
        <v>15</v>
      </c>
      <c r="J36" s="38">
        <f t="shared" si="7"/>
        <v>15</v>
      </c>
      <c r="K36" s="38">
        <f t="shared" si="8"/>
        <v>0</v>
      </c>
    </row>
    <row r="37" spans="1:11">
      <c r="A37" s="39">
        <f t="shared" si="0"/>
        <v>0.68749999999999956</v>
      </c>
      <c r="B37" s="27" t="s">
        <v>82</v>
      </c>
      <c r="C37" s="37">
        <v>45</v>
      </c>
      <c r="D37" s="38">
        <f t="shared" si="9"/>
        <v>0</v>
      </c>
      <c r="E37" s="38">
        <f t="shared" si="2"/>
        <v>15</v>
      </c>
      <c r="F37" s="38">
        <f t="shared" si="3"/>
        <v>0</v>
      </c>
      <c r="G37" s="38">
        <f t="shared" si="4"/>
        <v>15</v>
      </c>
      <c r="H37" s="38">
        <f t="shared" si="5"/>
        <v>0</v>
      </c>
      <c r="I37" s="38">
        <f t="shared" si="6"/>
        <v>15</v>
      </c>
      <c r="J37" s="38">
        <f t="shared" si="7"/>
        <v>0</v>
      </c>
      <c r="K37" s="38">
        <f t="shared" si="8"/>
        <v>15</v>
      </c>
    </row>
    <row r="38" spans="1:11">
      <c r="A38" s="39">
        <f t="shared" si="0"/>
        <v>0.69791666666666619</v>
      </c>
      <c r="B38" s="27" t="s">
        <v>82</v>
      </c>
      <c r="C38" s="37">
        <v>60</v>
      </c>
      <c r="D38" s="38">
        <f t="shared" si="9"/>
        <v>0</v>
      </c>
      <c r="E38" s="38">
        <f t="shared" si="2"/>
        <v>15</v>
      </c>
      <c r="F38" s="38">
        <f t="shared" si="3"/>
        <v>0</v>
      </c>
      <c r="G38" s="38">
        <f t="shared" si="4"/>
        <v>15</v>
      </c>
      <c r="H38" s="38">
        <f t="shared" si="5"/>
        <v>0</v>
      </c>
      <c r="I38" s="38">
        <f t="shared" si="6"/>
        <v>15</v>
      </c>
      <c r="J38" s="38">
        <f t="shared" si="7"/>
        <v>0</v>
      </c>
      <c r="K38" s="38">
        <f t="shared" si="8"/>
        <v>15</v>
      </c>
    </row>
    <row r="39" spans="1:11">
      <c r="A39" s="39">
        <f t="shared" si="0"/>
        <v>0.70833333333333282</v>
      </c>
      <c r="B39" s="27" t="s">
        <v>77</v>
      </c>
      <c r="C39" s="38" t="s">
        <v>58</v>
      </c>
      <c r="D39" s="38">
        <f t="shared" si="9"/>
        <v>15</v>
      </c>
      <c r="E39" s="38">
        <f t="shared" si="2"/>
        <v>0</v>
      </c>
      <c r="F39" s="38">
        <f t="shared" si="3"/>
        <v>15</v>
      </c>
      <c r="G39" s="38">
        <f t="shared" si="4"/>
        <v>0</v>
      </c>
      <c r="H39" s="38">
        <f t="shared" si="5"/>
        <v>15</v>
      </c>
      <c r="I39" s="38">
        <f t="shared" si="6"/>
        <v>0</v>
      </c>
      <c r="J39" s="38">
        <f t="shared" si="7"/>
        <v>15</v>
      </c>
      <c r="K39" s="38">
        <f t="shared" si="8"/>
        <v>0</v>
      </c>
    </row>
    <row r="40" spans="1:11">
      <c r="A40" s="39">
        <f t="shared" si="0"/>
        <v>0.71874999999999944</v>
      </c>
      <c r="B40" s="27" t="s">
        <v>81</v>
      </c>
      <c r="C40" s="37">
        <v>15</v>
      </c>
      <c r="D40" s="38">
        <f t="shared" si="9"/>
        <v>15</v>
      </c>
      <c r="E40" s="38">
        <f t="shared" si="2"/>
        <v>0</v>
      </c>
      <c r="F40" s="38">
        <f t="shared" si="3"/>
        <v>15</v>
      </c>
      <c r="G40" s="38">
        <f t="shared" si="4"/>
        <v>0</v>
      </c>
      <c r="H40" s="38">
        <f t="shared" si="5"/>
        <v>15</v>
      </c>
      <c r="I40" s="38">
        <f t="shared" si="6"/>
        <v>0</v>
      </c>
      <c r="J40" s="38">
        <f t="shared" si="7"/>
        <v>15</v>
      </c>
      <c r="K40" s="38">
        <f t="shared" si="8"/>
        <v>0</v>
      </c>
    </row>
    <row r="41" spans="1:11">
      <c r="A41" s="39">
        <f t="shared" si="0"/>
        <v>0.72916666666666607</v>
      </c>
      <c r="B41" s="27" t="s">
        <v>75</v>
      </c>
      <c r="C41" s="38" t="s">
        <v>58</v>
      </c>
      <c r="D41" s="38">
        <f t="shared" ref="D41:J44" si="10">IF($C41="Y",15,IF($C41-D$3&gt;15,0,IF($C41-D$3&lt;0,15,MIN(15-($C41-D$3),15))))</f>
        <v>15</v>
      </c>
      <c r="E41" s="38">
        <f t="shared" si="2"/>
        <v>0</v>
      </c>
      <c r="F41" s="38">
        <f t="shared" si="10"/>
        <v>15</v>
      </c>
      <c r="G41" s="38">
        <f t="shared" si="4"/>
        <v>0</v>
      </c>
      <c r="H41" s="38">
        <f t="shared" si="10"/>
        <v>15</v>
      </c>
      <c r="I41" s="38">
        <f t="shared" si="6"/>
        <v>0</v>
      </c>
      <c r="J41" s="38">
        <f t="shared" si="10"/>
        <v>15</v>
      </c>
      <c r="K41" s="38">
        <f t="shared" si="8"/>
        <v>0</v>
      </c>
    </row>
    <row r="42" spans="1:11">
      <c r="A42" s="39">
        <f t="shared" si="0"/>
        <v>0.7395833333333327</v>
      </c>
      <c r="B42" s="27" t="s">
        <v>83</v>
      </c>
      <c r="C42" s="37">
        <v>15</v>
      </c>
      <c r="D42" s="38">
        <f t="shared" si="10"/>
        <v>15</v>
      </c>
      <c r="E42" s="38">
        <f t="shared" si="2"/>
        <v>0</v>
      </c>
      <c r="F42" s="38">
        <f t="shared" si="10"/>
        <v>15</v>
      </c>
      <c r="G42" s="38">
        <f t="shared" si="4"/>
        <v>0</v>
      </c>
      <c r="H42" s="38">
        <f t="shared" si="10"/>
        <v>15</v>
      </c>
      <c r="I42" s="38">
        <f t="shared" si="6"/>
        <v>0</v>
      </c>
      <c r="J42" s="38">
        <f t="shared" si="10"/>
        <v>15</v>
      </c>
      <c r="K42" s="38">
        <f t="shared" si="8"/>
        <v>0</v>
      </c>
    </row>
    <row r="43" spans="1:11">
      <c r="A43" s="39">
        <f t="shared" si="0"/>
        <v>0.74999999999999933</v>
      </c>
      <c r="B43" s="27"/>
      <c r="C43" s="38" t="s">
        <v>58</v>
      </c>
      <c r="D43" s="38">
        <f t="shared" si="10"/>
        <v>15</v>
      </c>
      <c r="E43" s="38">
        <f t="shared" si="2"/>
        <v>0</v>
      </c>
      <c r="F43" s="38">
        <f t="shared" si="10"/>
        <v>15</v>
      </c>
      <c r="G43" s="38">
        <f t="shared" si="4"/>
        <v>0</v>
      </c>
      <c r="H43" s="38">
        <f t="shared" si="10"/>
        <v>15</v>
      </c>
      <c r="I43" s="38">
        <f t="shared" si="6"/>
        <v>0</v>
      </c>
      <c r="J43" s="38">
        <f t="shared" si="10"/>
        <v>15</v>
      </c>
      <c r="K43" s="38">
        <f t="shared" si="8"/>
        <v>0</v>
      </c>
    </row>
    <row r="44" spans="1:11">
      <c r="A44" s="39">
        <f t="shared" si="0"/>
        <v>0.76041666666666596</v>
      </c>
      <c r="B44" s="27" t="s">
        <v>84</v>
      </c>
      <c r="C44" s="37">
        <v>15</v>
      </c>
      <c r="D44" s="38">
        <f t="shared" si="10"/>
        <v>15</v>
      </c>
      <c r="E44" s="38">
        <f t="shared" si="2"/>
        <v>0</v>
      </c>
      <c r="F44" s="38">
        <f t="shared" si="10"/>
        <v>15</v>
      </c>
      <c r="G44" s="38">
        <f t="shared" si="4"/>
        <v>0</v>
      </c>
      <c r="H44" s="38">
        <f t="shared" si="10"/>
        <v>15</v>
      </c>
      <c r="I44" s="38">
        <f t="shared" si="6"/>
        <v>0</v>
      </c>
      <c r="J44" s="38">
        <f t="shared" si="10"/>
        <v>15</v>
      </c>
      <c r="K44" s="38">
        <f t="shared" si="8"/>
        <v>0</v>
      </c>
    </row>
    <row r="45" spans="1:11">
      <c r="C45" s="40" t="s">
        <v>85</v>
      </c>
      <c r="D45" s="41"/>
      <c r="E45" s="41"/>
      <c r="F45" s="41"/>
      <c r="G45" s="41"/>
      <c r="H45" s="41"/>
      <c r="I45" s="41"/>
      <c r="J45" s="41"/>
      <c r="K45" s="41"/>
    </row>
    <row r="46" spans="1:11">
      <c r="C46" s="42" t="s">
        <v>86</v>
      </c>
      <c r="D46" s="43">
        <f t="shared" ref="D46:K46" si="11">SUM(D6:D44)</f>
        <v>360</v>
      </c>
      <c r="E46" s="43">
        <f t="shared" si="11"/>
        <v>225</v>
      </c>
      <c r="F46" s="43">
        <f t="shared" si="11"/>
        <v>435</v>
      </c>
      <c r="G46" s="43">
        <f t="shared" si="11"/>
        <v>150</v>
      </c>
      <c r="H46" s="43">
        <f t="shared" si="11"/>
        <v>360</v>
      </c>
      <c r="I46" s="43">
        <f t="shared" si="11"/>
        <v>225</v>
      </c>
      <c r="J46" s="43">
        <f t="shared" si="11"/>
        <v>435</v>
      </c>
      <c r="K46" s="43">
        <f t="shared" si="11"/>
        <v>150</v>
      </c>
    </row>
    <row r="47" spans="1:11">
      <c r="H47" s="43"/>
      <c r="I47" s="43"/>
      <c r="J47" s="43"/>
      <c r="K47" s="43"/>
    </row>
    <row r="48" spans="1:11">
      <c r="C48" s="44" t="s">
        <v>87</v>
      </c>
      <c r="D48" s="45">
        <f>E46/(D46+E46)</f>
        <v>0.38461538461538464</v>
      </c>
      <c r="E48" s="46"/>
      <c r="F48" s="45">
        <f>G46/(F46+G46)</f>
        <v>0.25641025641025639</v>
      </c>
      <c r="G48" s="46"/>
      <c r="H48" s="45">
        <f>I46/(H46+I46)</f>
        <v>0.38461538461538464</v>
      </c>
      <c r="I48" s="46"/>
      <c r="J48" s="45">
        <f>K46/(J46+K46)</f>
        <v>0.25641025641025639</v>
      </c>
      <c r="K48" s="46"/>
    </row>
  </sheetData>
  <mergeCells count="2">
    <mergeCell ref="D1:G1"/>
    <mergeCell ref="H1:K1"/>
  </mergeCells>
  <phoneticPr fontId="6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N53"/>
  <sheetViews>
    <sheetView workbookViewId="0">
      <selection activeCell="J20" sqref="J20"/>
    </sheetView>
  </sheetViews>
  <sheetFormatPr defaultRowHeight="12.75"/>
  <cols>
    <col min="3" max="3" width="11.85546875" customWidth="1"/>
  </cols>
  <sheetData>
    <row r="1" spans="2:14">
      <c r="B1" s="20"/>
      <c r="C1" s="20"/>
      <c r="D1" s="84" t="s">
        <v>56</v>
      </c>
      <c r="E1" s="84" t="s">
        <v>57</v>
      </c>
    </row>
    <row r="2" spans="2:14">
      <c r="B2" s="84">
        <v>1</v>
      </c>
      <c r="C2" s="85" t="s">
        <v>95</v>
      </c>
      <c r="D2" s="152" t="s">
        <v>141</v>
      </c>
      <c r="E2" s="152" t="s">
        <v>142</v>
      </c>
      <c r="F2" s="154" t="s">
        <v>146</v>
      </c>
      <c r="G2" s="299"/>
      <c r="H2" s="300"/>
      <c r="I2" s="300"/>
      <c r="J2" s="300"/>
      <c r="K2" s="300"/>
      <c r="L2" s="301"/>
      <c r="M2" s="301"/>
      <c r="N2" s="301"/>
    </row>
    <row r="3" spans="2:14">
      <c r="B3" s="84">
        <v>2</v>
      </c>
      <c r="C3" s="86" t="s">
        <v>35</v>
      </c>
      <c r="D3" s="152">
        <v>0.10800000000000001</v>
      </c>
      <c r="E3" s="152">
        <v>0.1096</v>
      </c>
      <c r="F3" s="151" t="s">
        <v>143</v>
      </c>
      <c r="G3" s="156"/>
      <c r="H3" s="156"/>
      <c r="I3" s="156"/>
      <c r="J3" s="156"/>
      <c r="K3" s="160"/>
      <c r="L3" s="160"/>
      <c r="M3" s="160"/>
      <c r="N3" s="155"/>
    </row>
    <row r="4" spans="2:14">
      <c r="B4" s="84">
        <v>3</v>
      </c>
      <c r="C4" s="86" t="s">
        <v>54</v>
      </c>
      <c r="D4" s="152">
        <v>0.1668</v>
      </c>
      <c r="E4" s="152">
        <v>0.18429999999999999</v>
      </c>
      <c r="F4" s="157" t="s">
        <v>144</v>
      </c>
      <c r="G4" s="158"/>
      <c r="H4" s="158"/>
      <c r="I4" s="159"/>
      <c r="J4" s="155"/>
      <c r="K4" s="155"/>
      <c r="L4" s="155"/>
      <c r="M4" s="155"/>
    </row>
    <row r="5" spans="2:14">
      <c r="B5" s="84">
        <v>4</v>
      </c>
      <c r="C5" s="86" t="s">
        <v>43</v>
      </c>
      <c r="D5" s="152">
        <v>9.4100000000000003E-2</v>
      </c>
      <c r="E5" s="152">
        <v>0.1106</v>
      </c>
      <c r="F5" s="83"/>
      <c r="G5" s="90"/>
      <c r="H5" s="83"/>
      <c r="I5" s="83"/>
      <c r="J5" s="83"/>
      <c r="K5" s="83"/>
      <c r="L5" s="83"/>
    </row>
    <row r="6" spans="2:14">
      <c r="B6" s="84">
        <v>5</v>
      </c>
      <c r="C6" s="86" t="s">
        <v>39</v>
      </c>
      <c r="D6" s="152">
        <v>7.46E-2</v>
      </c>
      <c r="E6" s="152">
        <v>8.3800000000000013E-2</v>
      </c>
      <c r="F6" s="83"/>
      <c r="G6" s="90"/>
      <c r="H6" s="83"/>
      <c r="I6" s="83"/>
      <c r="J6" s="83"/>
      <c r="K6" s="83"/>
      <c r="L6" s="83"/>
    </row>
    <row r="7" spans="2:14">
      <c r="B7" s="84">
        <v>6</v>
      </c>
      <c r="C7" s="86" t="s">
        <v>51</v>
      </c>
      <c r="D7" s="152">
        <v>0.1348</v>
      </c>
      <c r="E7" s="152">
        <v>0.1643</v>
      </c>
      <c r="F7" s="83"/>
      <c r="G7" s="90"/>
      <c r="H7" s="150" t="s">
        <v>145</v>
      </c>
      <c r="I7" s="83"/>
      <c r="J7" s="83"/>
      <c r="K7" s="83"/>
      <c r="L7" s="83"/>
    </row>
    <row r="8" spans="2:14">
      <c r="B8" s="84">
        <v>7</v>
      </c>
      <c r="C8" s="86" t="s">
        <v>44</v>
      </c>
      <c r="D8" s="152">
        <v>9.6099999999999991E-2</v>
      </c>
      <c r="E8" s="152">
        <v>0.1157</v>
      </c>
      <c r="F8" s="83"/>
      <c r="G8" s="90"/>
      <c r="H8" s="83"/>
      <c r="I8" s="83"/>
      <c r="J8" s="83"/>
      <c r="K8" s="83"/>
      <c r="L8" s="83"/>
    </row>
    <row r="9" spans="2:14">
      <c r="B9" s="84">
        <v>8</v>
      </c>
      <c r="C9" s="86" t="s">
        <v>5</v>
      </c>
      <c r="D9" s="152">
        <v>0.1565</v>
      </c>
      <c r="E9" s="152">
        <v>0.18809999999999999</v>
      </c>
      <c r="F9" s="83"/>
      <c r="G9" s="90">
        <v>1</v>
      </c>
      <c r="H9" s="153">
        <v>0.36</v>
      </c>
      <c r="I9" s="83"/>
      <c r="J9" s="83"/>
      <c r="K9" s="83"/>
      <c r="L9" s="83"/>
    </row>
    <row r="10" spans="2:14">
      <c r="B10" s="84">
        <v>9</v>
      </c>
      <c r="C10" s="86" t="s">
        <v>26</v>
      </c>
      <c r="D10" s="152">
        <v>0.1157</v>
      </c>
      <c r="E10" s="152">
        <v>0.1244</v>
      </c>
      <c r="F10" s="83"/>
      <c r="G10" s="90">
        <f>+G9+1</f>
        <v>2</v>
      </c>
      <c r="H10" s="153">
        <v>0</v>
      </c>
      <c r="I10" s="83"/>
      <c r="J10" s="83"/>
      <c r="K10" s="83"/>
      <c r="L10" s="83"/>
    </row>
    <row r="11" spans="2:14" ht="18.75">
      <c r="B11" s="84">
        <v>10</v>
      </c>
      <c r="C11" s="86" t="s">
        <v>27</v>
      </c>
      <c r="D11" s="152">
        <v>0.1321</v>
      </c>
      <c r="E11" s="152">
        <v>0.12659999999999999</v>
      </c>
      <c r="F11" s="83"/>
      <c r="G11" s="90">
        <f t="shared" ref="G11:G20" si="0">+G10+1</f>
        <v>3</v>
      </c>
      <c r="H11" s="153">
        <v>0.1</v>
      </c>
      <c r="I11" s="83"/>
      <c r="J11" s="83"/>
      <c r="K11" s="83"/>
      <c r="L11" s="83"/>
    </row>
    <row r="12" spans="2:14">
      <c r="B12" s="84">
        <v>11</v>
      </c>
      <c r="C12" s="86" t="s">
        <v>28</v>
      </c>
      <c r="D12" s="152">
        <v>9.98E-2</v>
      </c>
      <c r="E12" s="152">
        <v>0.11849999999999999</v>
      </c>
      <c r="F12" s="83"/>
      <c r="G12" s="90">
        <f t="shared" si="0"/>
        <v>4</v>
      </c>
      <c r="H12" s="153">
        <v>0.2</v>
      </c>
      <c r="I12" s="83"/>
      <c r="J12" s="83"/>
      <c r="K12" s="83"/>
      <c r="L12" s="83"/>
      <c r="M12" s="65"/>
    </row>
    <row r="13" spans="2:14">
      <c r="B13" s="84">
        <v>12</v>
      </c>
      <c r="C13" s="86" t="s">
        <v>29</v>
      </c>
      <c r="D13" s="152">
        <v>0.10640000000000001</v>
      </c>
      <c r="E13" s="152">
        <v>0.10869999999999999</v>
      </c>
      <c r="F13" s="83"/>
      <c r="G13" s="90">
        <f t="shared" si="0"/>
        <v>5</v>
      </c>
      <c r="H13" s="153">
        <v>0.30000000000000004</v>
      </c>
      <c r="I13" s="83"/>
      <c r="J13" s="83"/>
      <c r="K13" s="83"/>
      <c r="L13" s="83"/>
      <c r="M13" s="65"/>
    </row>
    <row r="14" spans="2:14">
      <c r="B14" s="84">
        <v>13</v>
      </c>
      <c r="C14" s="86" t="s">
        <v>55</v>
      </c>
      <c r="D14" s="152">
        <v>0.34659999999999996</v>
      </c>
      <c r="E14" s="152">
        <v>0.37259999999999999</v>
      </c>
      <c r="F14" s="83"/>
      <c r="G14" s="90">
        <f t="shared" si="0"/>
        <v>6</v>
      </c>
      <c r="H14" s="153">
        <v>0.4</v>
      </c>
      <c r="I14" s="83"/>
      <c r="J14" s="83"/>
      <c r="K14" s="83"/>
      <c r="L14" s="83"/>
      <c r="M14" s="65"/>
    </row>
    <row r="15" spans="2:14">
      <c r="B15" s="84">
        <v>14</v>
      </c>
      <c r="C15" s="86" t="s">
        <v>45</v>
      </c>
      <c r="D15" s="152">
        <v>7.3599999999999999E-2</v>
      </c>
      <c r="E15" s="152">
        <v>8.9800000000000005E-2</v>
      </c>
      <c r="F15" s="83"/>
      <c r="G15" s="90">
        <f t="shared" si="0"/>
        <v>7</v>
      </c>
      <c r="H15" s="153">
        <v>0.5</v>
      </c>
      <c r="I15" s="83"/>
      <c r="J15" s="83"/>
      <c r="K15" s="83"/>
      <c r="L15" s="83"/>
      <c r="M15" s="65"/>
    </row>
    <row r="16" spans="2:14">
      <c r="B16" s="84">
        <v>15</v>
      </c>
      <c r="C16" s="86" t="s">
        <v>14</v>
      </c>
      <c r="D16" s="152">
        <v>8.4900000000000003E-2</v>
      </c>
      <c r="E16" s="152">
        <v>0.1003</v>
      </c>
      <c r="F16" s="83"/>
      <c r="G16" s="90">
        <f t="shared" si="0"/>
        <v>8</v>
      </c>
      <c r="H16" s="153">
        <v>0.6</v>
      </c>
      <c r="I16" s="83"/>
      <c r="J16" s="83"/>
      <c r="K16" s="83"/>
      <c r="L16" s="83"/>
      <c r="M16" s="65"/>
    </row>
    <row r="17" spans="2:13">
      <c r="B17" s="84">
        <v>16</v>
      </c>
      <c r="C17" s="86" t="s">
        <v>15</v>
      </c>
      <c r="D17" s="152">
        <v>9.6199999999999994E-2</v>
      </c>
      <c r="E17" s="152">
        <v>0.10339999999999999</v>
      </c>
      <c r="F17" s="83"/>
      <c r="G17" s="90">
        <f t="shared" si="0"/>
        <v>9</v>
      </c>
      <c r="H17" s="153">
        <v>0.7</v>
      </c>
      <c r="I17" s="83"/>
      <c r="J17" s="83"/>
      <c r="K17" s="83"/>
      <c r="L17" s="83"/>
      <c r="M17" s="65"/>
    </row>
    <row r="18" spans="2:13">
      <c r="B18" s="84">
        <v>17</v>
      </c>
      <c r="C18" s="86" t="s">
        <v>19</v>
      </c>
      <c r="D18" s="152">
        <v>8.0700000000000008E-2</v>
      </c>
      <c r="E18" s="152">
        <v>0.1012</v>
      </c>
      <c r="F18" s="83"/>
      <c r="G18" s="90">
        <f t="shared" si="0"/>
        <v>10</v>
      </c>
      <c r="H18" s="153">
        <v>0.79999999999999993</v>
      </c>
      <c r="I18" s="83"/>
      <c r="J18" s="83"/>
      <c r="K18" s="83"/>
      <c r="L18" s="83"/>
      <c r="M18" s="65"/>
    </row>
    <row r="19" spans="2:13">
      <c r="B19" s="84">
        <v>18</v>
      </c>
      <c r="C19" s="86" t="s">
        <v>20</v>
      </c>
      <c r="D19" s="152">
        <v>9.3599999999999989E-2</v>
      </c>
      <c r="E19" s="152">
        <v>0.1104</v>
      </c>
      <c r="F19" s="83"/>
      <c r="G19" s="90">
        <f t="shared" si="0"/>
        <v>11</v>
      </c>
      <c r="H19" s="153">
        <v>0.89999999999999991</v>
      </c>
      <c r="I19" s="83"/>
      <c r="J19" s="83"/>
      <c r="K19" s="83"/>
      <c r="L19" s="83"/>
      <c r="M19" s="65"/>
    </row>
    <row r="20" spans="2:13">
      <c r="B20" s="84">
        <v>19</v>
      </c>
      <c r="C20" s="86" t="s">
        <v>36</v>
      </c>
      <c r="D20" s="152">
        <v>9.0500000000000011E-2</v>
      </c>
      <c r="E20" s="152">
        <v>9.4700000000000006E-2</v>
      </c>
      <c r="F20" s="83"/>
      <c r="G20" s="90">
        <f t="shared" si="0"/>
        <v>12</v>
      </c>
      <c r="H20" s="153">
        <v>0.99999999999999989</v>
      </c>
      <c r="I20" s="83"/>
      <c r="J20" s="83"/>
      <c r="K20" s="83"/>
      <c r="L20" s="83"/>
      <c r="M20" s="65"/>
    </row>
    <row r="21" spans="2:13">
      <c r="B21" s="84">
        <v>20</v>
      </c>
      <c r="C21" s="86" t="s">
        <v>40</v>
      </c>
      <c r="D21" s="152">
        <v>8.8300000000000003E-2</v>
      </c>
      <c r="E21" s="152">
        <v>8.6300000000000002E-2</v>
      </c>
      <c r="F21" s="83"/>
      <c r="G21" s="90"/>
      <c r="H21" s="83"/>
      <c r="I21" s="83"/>
      <c r="J21" s="83"/>
      <c r="K21" s="83"/>
      <c r="L21" s="83"/>
      <c r="M21" s="65"/>
    </row>
    <row r="22" spans="2:13">
      <c r="B22" s="84">
        <v>21</v>
      </c>
      <c r="C22" s="86" t="s">
        <v>6</v>
      </c>
      <c r="D22" s="152">
        <v>0.14279999999999998</v>
      </c>
      <c r="E22" s="152">
        <v>0.14529999999999998</v>
      </c>
      <c r="F22" s="91"/>
      <c r="G22" s="90"/>
      <c r="H22" s="83"/>
      <c r="I22" s="83"/>
      <c r="J22" s="83"/>
      <c r="K22" s="83"/>
      <c r="L22" s="83"/>
      <c r="M22" s="65"/>
    </row>
    <row r="23" spans="2:13">
      <c r="B23" s="84">
        <v>22</v>
      </c>
      <c r="C23" s="86" t="s">
        <v>30</v>
      </c>
      <c r="D23" s="152">
        <v>0.11890000000000001</v>
      </c>
      <c r="E23" s="152">
        <v>0.13300000000000001</v>
      </c>
      <c r="F23" s="92"/>
      <c r="G23" s="90"/>
      <c r="H23" s="83"/>
      <c r="I23" s="83"/>
      <c r="J23" s="83"/>
      <c r="K23" s="83"/>
      <c r="L23" s="83"/>
      <c r="M23" s="65"/>
    </row>
    <row r="24" spans="2:13">
      <c r="B24" s="84">
        <v>23</v>
      </c>
      <c r="C24" s="86" t="s">
        <v>7</v>
      </c>
      <c r="D24" s="152">
        <v>0.1474</v>
      </c>
      <c r="E24" s="152">
        <v>0.16920000000000002</v>
      </c>
      <c r="F24" s="92"/>
      <c r="G24" s="90"/>
      <c r="H24" s="83"/>
      <c r="I24" s="83"/>
      <c r="J24" s="83"/>
      <c r="K24" s="83"/>
      <c r="L24" s="83"/>
      <c r="M24" s="65"/>
    </row>
    <row r="25" spans="2:13">
      <c r="B25" s="84">
        <v>24</v>
      </c>
      <c r="C25" s="86" t="s">
        <v>16</v>
      </c>
      <c r="D25" s="152">
        <v>0.10640000000000001</v>
      </c>
      <c r="E25" s="152">
        <v>0.13930000000000001</v>
      </c>
      <c r="F25" s="92"/>
      <c r="G25" s="90"/>
      <c r="H25" s="83"/>
      <c r="I25" s="83"/>
      <c r="J25" s="83"/>
      <c r="K25" s="83"/>
      <c r="L25" s="83"/>
      <c r="M25" s="65"/>
    </row>
    <row r="26" spans="2:13">
      <c r="B26" s="84">
        <v>25</v>
      </c>
      <c r="C26" s="86" t="s">
        <v>21</v>
      </c>
      <c r="D26" s="152">
        <v>9.3299999999999994E-2</v>
      </c>
      <c r="E26" s="152">
        <v>0.1143</v>
      </c>
      <c r="F26" s="92"/>
      <c r="G26" s="90"/>
      <c r="H26" s="83"/>
      <c r="I26" s="83"/>
      <c r="J26" s="83"/>
      <c r="K26" s="83"/>
      <c r="L26" s="83"/>
      <c r="M26" s="65"/>
    </row>
    <row r="27" spans="2:13">
      <c r="B27" s="84">
        <v>26</v>
      </c>
      <c r="C27" s="86" t="s">
        <v>37</v>
      </c>
      <c r="D27" s="152">
        <v>0.1076</v>
      </c>
      <c r="E27" s="152">
        <v>0.10550000000000001</v>
      </c>
      <c r="G27" s="90"/>
    </row>
    <row r="28" spans="2:13">
      <c r="B28" s="84">
        <v>27</v>
      </c>
      <c r="C28" s="86" t="s">
        <v>22</v>
      </c>
      <c r="D28" s="152">
        <v>7.7600000000000002E-2</v>
      </c>
      <c r="E28" s="152">
        <v>8.9399999999999993E-2</v>
      </c>
      <c r="G28" s="90"/>
    </row>
    <row r="29" spans="2:13">
      <c r="B29" s="84">
        <v>28</v>
      </c>
      <c r="C29" s="86" t="s">
        <v>46</v>
      </c>
      <c r="D29" s="152">
        <v>9.2600000000000002E-2</v>
      </c>
      <c r="E29" s="152">
        <v>9.8599999999999993E-2</v>
      </c>
      <c r="G29" s="90"/>
    </row>
    <row r="30" spans="2:13">
      <c r="B30" s="84">
        <v>29</v>
      </c>
      <c r="C30" s="86" t="s">
        <v>23</v>
      </c>
      <c r="D30" s="152">
        <v>8.2100000000000006E-2</v>
      </c>
      <c r="E30" s="152">
        <v>9.0500000000000011E-2</v>
      </c>
      <c r="F30" s="102"/>
      <c r="G30" s="90"/>
      <c r="H30" s="102"/>
    </row>
    <row r="31" spans="2:13">
      <c r="B31" s="84">
        <v>30</v>
      </c>
      <c r="C31" s="86" t="s">
        <v>47</v>
      </c>
      <c r="D31" s="152">
        <v>9.2300000000000007E-2</v>
      </c>
      <c r="E31" s="152">
        <v>0.12279999999999999</v>
      </c>
      <c r="F31" s="102"/>
      <c r="H31" s="102"/>
    </row>
    <row r="32" spans="2:13">
      <c r="B32" s="84">
        <v>31</v>
      </c>
      <c r="C32" s="86" t="s">
        <v>8</v>
      </c>
      <c r="D32" s="152">
        <v>0.1547</v>
      </c>
      <c r="E32" s="152">
        <v>0.16850000000000001</v>
      </c>
      <c r="F32" s="102"/>
      <c r="H32" s="102"/>
    </row>
    <row r="33" spans="2:8">
      <c r="B33" s="84">
        <v>32</v>
      </c>
      <c r="C33" s="86" t="s">
        <v>11</v>
      </c>
      <c r="D33" s="152">
        <v>0.1381</v>
      </c>
      <c r="E33" s="152">
        <v>0.1545</v>
      </c>
      <c r="F33" s="102"/>
      <c r="H33" s="102"/>
    </row>
    <row r="34" spans="2:8">
      <c r="B34" s="84">
        <v>33</v>
      </c>
      <c r="C34" s="86" t="s">
        <v>48</v>
      </c>
      <c r="D34" s="152">
        <v>9.7799999999999998E-2</v>
      </c>
      <c r="E34" s="152">
        <v>0.11349999999999999</v>
      </c>
      <c r="F34" s="102"/>
      <c r="G34" s="102"/>
      <c r="H34" s="102"/>
    </row>
    <row r="35" spans="2:8">
      <c r="B35" s="84">
        <v>34</v>
      </c>
      <c r="C35" s="86" t="s">
        <v>12</v>
      </c>
      <c r="D35" s="152">
        <v>0.16930000000000001</v>
      </c>
      <c r="E35" s="152">
        <v>0.20600000000000002</v>
      </c>
      <c r="F35" s="101"/>
      <c r="G35" s="101"/>
      <c r="H35" s="101"/>
    </row>
    <row r="36" spans="2:8">
      <c r="B36" s="84">
        <v>35</v>
      </c>
      <c r="C36" s="86" t="s">
        <v>31</v>
      </c>
      <c r="D36" s="152">
        <v>8.7899999999999992E-2</v>
      </c>
      <c r="E36" s="152">
        <v>0.10580000000000001</v>
      </c>
      <c r="G36" s="101"/>
    </row>
    <row r="37" spans="2:8">
      <c r="B37" s="84">
        <v>36</v>
      </c>
      <c r="C37" s="86" t="s">
        <v>24</v>
      </c>
      <c r="D37" s="152">
        <v>8.0100000000000005E-2</v>
      </c>
      <c r="E37" s="152">
        <v>8.0600000000000005E-2</v>
      </c>
      <c r="G37" s="101"/>
    </row>
    <row r="38" spans="2:8">
      <c r="B38" s="84">
        <v>37</v>
      </c>
      <c r="C38" s="86" t="s">
        <v>17</v>
      </c>
      <c r="D38" s="152">
        <v>9.5299999999999996E-2</v>
      </c>
      <c r="E38" s="152">
        <v>0.11019999999999999</v>
      </c>
      <c r="G38" s="102"/>
    </row>
    <row r="39" spans="2:8">
      <c r="B39" s="84">
        <v>38</v>
      </c>
      <c r="C39" s="86" t="s">
        <v>41</v>
      </c>
      <c r="D39" s="152">
        <v>7.6600000000000001E-2</v>
      </c>
      <c r="E39" s="152">
        <v>8.77E-2</v>
      </c>
      <c r="G39" s="101"/>
    </row>
    <row r="40" spans="2:8">
      <c r="B40" s="84">
        <v>39</v>
      </c>
      <c r="C40" s="86" t="s">
        <v>52</v>
      </c>
      <c r="D40" s="152">
        <v>8.7799999999999989E-2</v>
      </c>
      <c r="E40" s="152">
        <v>0.10150000000000001</v>
      </c>
    </row>
    <row r="41" spans="2:8">
      <c r="B41" s="84">
        <v>40</v>
      </c>
      <c r="C41" s="86" t="s">
        <v>13</v>
      </c>
      <c r="D41" s="152">
        <v>0.1027</v>
      </c>
      <c r="E41" s="152">
        <v>0.13070000000000001</v>
      </c>
      <c r="G41" s="106"/>
    </row>
    <row r="42" spans="2:8">
      <c r="B42" s="84">
        <v>41</v>
      </c>
      <c r="C42" s="86" t="s">
        <v>9</v>
      </c>
      <c r="D42" s="152">
        <v>0.16399999999999998</v>
      </c>
      <c r="E42" s="152">
        <v>0.1946</v>
      </c>
      <c r="G42" s="106"/>
    </row>
    <row r="43" spans="2:8">
      <c r="B43" s="84">
        <v>42</v>
      </c>
      <c r="C43" s="86" t="s">
        <v>32</v>
      </c>
      <c r="D43" s="152">
        <v>0.10189999999999999</v>
      </c>
      <c r="E43" s="152">
        <v>0.11779999999999999</v>
      </c>
    </row>
    <row r="44" spans="2:8">
      <c r="B44" s="84">
        <v>43</v>
      </c>
      <c r="C44" s="86" t="s">
        <v>25</v>
      </c>
      <c r="D44" s="152">
        <v>8.4199999999999997E-2</v>
      </c>
      <c r="E44" s="152">
        <v>9.5500000000000002E-2</v>
      </c>
    </row>
    <row r="45" spans="2:8">
      <c r="B45" s="84">
        <v>44</v>
      </c>
      <c r="C45" s="86" t="s">
        <v>38</v>
      </c>
      <c r="D45" s="152">
        <v>0.1007</v>
      </c>
      <c r="E45" s="152">
        <v>9.7599999999999992E-2</v>
      </c>
    </row>
    <row r="46" spans="2:8">
      <c r="B46" s="84">
        <v>45</v>
      </c>
      <c r="C46" s="86" t="s">
        <v>42</v>
      </c>
      <c r="D46" s="152">
        <v>7.980000000000001E-2</v>
      </c>
      <c r="E46" s="152">
        <v>0.1105</v>
      </c>
    </row>
    <row r="47" spans="2:8">
      <c r="B47" s="84">
        <v>46</v>
      </c>
      <c r="C47" s="86" t="s">
        <v>49</v>
      </c>
      <c r="D47" s="152">
        <v>8.0199999999999994E-2</v>
      </c>
      <c r="E47" s="152">
        <v>0.1003</v>
      </c>
    </row>
    <row r="48" spans="2:8">
      <c r="B48" s="84">
        <v>47</v>
      </c>
      <c r="C48" s="86" t="s">
        <v>10</v>
      </c>
      <c r="D48" s="152">
        <v>0.1439</v>
      </c>
      <c r="E48" s="152">
        <v>0.17030000000000001</v>
      </c>
    </row>
    <row r="49" spans="2:5">
      <c r="B49" s="84">
        <v>48</v>
      </c>
      <c r="C49" s="86" t="s">
        <v>33</v>
      </c>
      <c r="D49" s="152">
        <v>7.9699999999999993E-2</v>
      </c>
      <c r="E49" s="152">
        <v>0.1012</v>
      </c>
    </row>
    <row r="50" spans="2:5">
      <c r="B50" s="84">
        <v>49</v>
      </c>
      <c r="C50" s="86" t="s">
        <v>53</v>
      </c>
      <c r="D50" s="152">
        <v>7.9600000000000004E-2</v>
      </c>
      <c r="E50" s="152">
        <v>8.6300000000000002E-2</v>
      </c>
    </row>
    <row r="51" spans="2:5">
      <c r="B51" s="84">
        <v>50</v>
      </c>
      <c r="C51" s="86" t="s">
        <v>34</v>
      </c>
      <c r="D51" s="152">
        <v>7.9199999999999993E-2</v>
      </c>
      <c r="E51" s="152">
        <v>9.06E-2</v>
      </c>
    </row>
    <row r="52" spans="2:5">
      <c r="B52" s="84">
        <v>51</v>
      </c>
      <c r="C52" s="86" t="s">
        <v>18</v>
      </c>
      <c r="D52" s="152">
        <v>0.1057</v>
      </c>
      <c r="E52" s="152">
        <v>0.1328</v>
      </c>
    </row>
    <row r="53" spans="2:5">
      <c r="B53" s="85">
        <v>52</v>
      </c>
      <c r="C53" s="86" t="s">
        <v>50</v>
      </c>
      <c r="D53" s="152">
        <v>8.5999999999999993E-2</v>
      </c>
      <c r="E53" s="152">
        <v>9.820000000000001E-2</v>
      </c>
    </row>
  </sheetData>
  <mergeCells count="1">
    <mergeCell ref="G2:N2"/>
  </mergeCells>
  <phoneticPr fontId="38" type="noConversion"/>
  <hyperlinks>
    <hyperlink ref="F4" r:id="rId1" display="- National average: US Department of Energy, Annual Energy Outlook 2014 (Early Release edition), (converted from 2012 to 2013 dollars)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3d0ec70f-4850-419e-ba88-1a2e9ef4e89e" ContentTypeId="0x010100B80CB6684E0D2F408D230F308CBB847F0302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3A2ECC659B7C48AB0AD61B3802BD54" ma:contentTypeVersion="0" ma:contentTypeDescription="Create a new document." ma:contentTypeScope="" ma:versionID="487f792cfc71e9ac117cc3d1b24b1a8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96E7B9-1833-4EB8-B11B-B89930A0C676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9109C612-2136-42B6-B5B7-2F659EDAE053}"/>
</file>

<file path=customXml/itemProps3.xml><?xml version="1.0" encoding="utf-8"?>
<ds:datastoreItem xmlns:ds="http://schemas.openxmlformats.org/officeDocument/2006/customXml" ds:itemID="{438809BA-0542-4F9A-A500-DE52E53AE66C}"/>
</file>

<file path=customXml/itemProps4.xml><?xml version="1.0" encoding="utf-8"?>
<ds:datastoreItem xmlns:ds="http://schemas.openxmlformats.org/officeDocument/2006/customXml" ds:itemID="{80DDA6DE-12B3-473A-84DD-6DEBA5B7A4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Start Here</vt:lpstr>
      <vt:lpstr>Adjust - sleep settings</vt:lpstr>
      <vt:lpstr>Adjust- power draw</vt:lpstr>
      <vt:lpstr>Adjust - usage patterns</vt:lpstr>
      <vt:lpstr>Results</vt:lpstr>
      <vt:lpstr>Scratch Work</vt:lpstr>
      <vt:lpstr>Modeling Study</vt:lpstr>
      <vt:lpstr>Drop Down Ref</vt:lpstr>
      <vt:lpstr>'Adjust - sleep settings'!Print_Area</vt:lpstr>
      <vt:lpstr>'Adjust - usage patterns'!Print_Area</vt:lpstr>
      <vt:lpstr>'Adjust- power draw'!Print_Area</vt:lpstr>
      <vt:lpstr>Results!Print_Area</vt:lpstr>
      <vt:lpstr>'Start Here'!Print_Area</vt:lpstr>
    </vt:vector>
  </TitlesOfParts>
  <Company>Beacon Consultants Network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Walker</dc:creator>
  <cp:lastModifiedBy>Asa Parker</cp:lastModifiedBy>
  <cp:lastPrinted>2008-05-22T14:57:35Z</cp:lastPrinted>
  <dcterms:created xsi:type="dcterms:W3CDTF">2007-09-28T20:07:48Z</dcterms:created>
  <dcterms:modified xsi:type="dcterms:W3CDTF">2016-12-13T17:24:58Z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0x010100083A2ECC659B7C48AB0AD61B3802BD54</vt:lpwstr>
  </property>
  <property fmtid="{D5CDD505-2E9C-101B-9397-08002B2CF9AE}" pid="3" name="TaxKeyword">
    <vt:lpwstr/>
  </property>
  <property fmtid="{D5CDD505-2E9C-101B-9397-08002B2CF9AE}" pid="4" name="ContractDivisions">
    <vt:lpwstr/>
  </property>
  <property fmtid="{D5CDD505-2E9C-101B-9397-08002B2CF9AE}" pid="5" name="ContractClients">
    <vt:lpwstr/>
  </property>
  <property fmtid="{D5CDD505-2E9C-101B-9397-08002B2CF9AE}" pid="6" name="AreaOfExpertise">
    <vt:lpwstr/>
  </property>
  <property fmtid="{D5CDD505-2E9C-101B-9397-08002B2CF9AE}" pid="7" name="ProjectLocations">
    <vt:lpwstr/>
  </property>
  <property fmtid="{D5CDD505-2E9C-101B-9397-08002B2CF9AE}" pid="8" name="ProjectSubjectAreas">
    <vt:lpwstr/>
  </property>
  <property fmtid="{D5CDD505-2E9C-101B-9397-08002B2CF9AE}" pid="9" name="ServiceSectors">
    <vt:lpwstr/>
  </property>
  <property fmtid="{D5CDD505-2E9C-101B-9397-08002B2CF9AE}" pid="10" name="WorkType">
    <vt:lpwstr/>
  </property>
  <property fmtid="{D5CDD505-2E9C-101B-9397-08002B2CF9AE}" pid="11" name="ProjectClients">
    <vt:lpwstr/>
  </property>
  <property fmtid="{D5CDD505-2E9C-101B-9397-08002B2CF9AE}" pid="12" name="ProjectServiceSectors">
    <vt:lpwstr/>
  </property>
  <property fmtid="{D5CDD505-2E9C-101B-9397-08002B2CF9AE}" pid="13" name="Locations">
    <vt:lpwstr/>
  </property>
</Properties>
</file>